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updateLinks="never" codeName="ЭтаКнига" hidePivotFieldList="1" defaultThemeVersion="124226"/>
  <bookViews>
    <workbookView xWindow="120" yWindow="270" windowWidth="14730" windowHeight="11700" tabRatio="903" firstSheet="2" activeTab="2"/>
  </bookViews>
  <sheets>
    <sheet name="Титульный" sheetId="13" state="hidden" r:id="rId1"/>
    <sheet name="1" sheetId="7" state="hidden" r:id="rId2"/>
    <sheet name="2" sheetId="10" r:id="rId3"/>
    <sheet name="3-1" sheetId="12" r:id="rId4"/>
    <sheet name="3-2" sheetId="30" r:id="rId5"/>
    <sheet name="доходы" sheetId="16" state="hidden" r:id="rId6"/>
    <sheet name="111" sheetId="17" state="hidden" r:id="rId7"/>
    <sheet name="112, 113" sheetId="18" state="hidden" r:id="rId8"/>
    <sheet name="119, 321, 323, 350, 851, 852" sheetId="19" state="hidden" r:id="rId9"/>
    <sheet name="КФО 2" sheetId="20" state="hidden" r:id="rId10"/>
    <sheet name="КФО 4" sheetId="27" state="hidden" r:id="rId11"/>
    <sheet name="КФО 5" sheetId="28" state="hidden" r:id="rId12"/>
    <sheet name="400" sheetId="21" state="hidden" r:id="rId13"/>
    <sheet name="Проверочная таблица" sheetId="24" state="hidden" r:id="rId14"/>
    <sheet name="коды субсидии 2022.2023" sheetId="31" state="hidden" r:id="rId15"/>
    <sheet name="Лист1" sheetId="32" r:id="rId16"/>
  </sheets>
  <externalReferences>
    <externalReference r:id="rId17"/>
  </externalReferences>
  <definedNames>
    <definedName name="_xlnm._FilterDatabase" localSheetId="14" hidden="1">'коды субсидии 2022.2023'!$A$1:$C$1</definedName>
    <definedName name="_xlnm._FilterDatabase" localSheetId="0" hidden="1">Титульный!$K$115:$BR$115</definedName>
    <definedName name="_xlnm.Print_Area" localSheetId="1">'1'!$A$1:$H$23</definedName>
    <definedName name="_xlnm.Print_Area" localSheetId="6">'111'!$A$1:$J$57</definedName>
    <definedName name="_xlnm.Print_Area" localSheetId="7">'112, 113'!$A$1:$O$101</definedName>
    <definedName name="_xlnm.Print_Area" localSheetId="8">'119, 321, 323, 350, 851, 852'!$A$1:$L$131</definedName>
    <definedName name="_xlnm.Print_Area" localSheetId="2">'2'!$A$1:$H$124</definedName>
    <definedName name="_xlnm.Print_Area" localSheetId="3">'3-1'!$A$1:$J$43</definedName>
    <definedName name="_xlnm.Print_Area" localSheetId="4">'3-2'!$A$1:$H$34</definedName>
    <definedName name="_xlnm.Print_Area" localSheetId="12">'400'!$A$1:$L$24</definedName>
    <definedName name="_xlnm.Print_Area" localSheetId="5">доходы!$A$1:$L$135</definedName>
    <definedName name="_xlnm.Print_Area" localSheetId="9">'КФО 2'!$A$1:$P$191</definedName>
    <definedName name="_xlnm.Print_Area" localSheetId="10">'КФО 4'!$A$1:$P$186</definedName>
    <definedName name="_xlnm.Print_Area" localSheetId="11">'КФО 5'!$A$1:$P$181</definedName>
    <definedName name="_xlnm.Print_Area" localSheetId="0">Титульный!$J$1:$Y$307</definedName>
  </definedNames>
  <calcPr calcId="125725"/>
</workbook>
</file>

<file path=xl/calcChain.xml><?xml version="1.0" encoding="utf-8"?>
<calcChain xmlns="http://schemas.openxmlformats.org/spreadsheetml/2006/main">
  <c r="O224" i="13"/>
  <c r="O46"/>
  <c r="O279" l="1"/>
  <c r="O270"/>
  <c r="O261"/>
  <c r="O47"/>
  <c r="O277" l="1"/>
  <c r="O264" l="1"/>
  <c r="O208"/>
  <c r="O232"/>
  <c r="O231"/>
  <c r="O291" l="1"/>
  <c r="O206"/>
  <c r="O203"/>
  <c r="O102" l="1"/>
  <c r="O150"/>
  <c r="O139"/>
  <c r="O177" l="1"/>
  <c r="O172"/>
  <c r="O156"/>
  <c r="O215" l="1"/>
  <c r="O211"/>
  <c r="O210"/>
  <c r="O209"/>
  <c r="T139" l="1"/>
  <c r="Q270"/>
  <c r="P270"/>
  <c r="Q261"/>
  <c r="P261"/>
  <c r="Q139" l="1"/>
  <c r="P139"/>
  <c r="Q208"/>
  <c r="P208"/>
  <c r="Q206" l="1"/>
  <c r="P206"/>
  <c r="Q150"/>
  <c r="P150"/>
  <c r="Q47"/>
  <c r="P47"/>
  <c r="Q46"/>
  <c r="P46"/>
  <c r="Q240" l="1"/>
  <c r="Q241" s="1"/>
  <c r="P240"/>
  <c r="P241" s="1"/>
  <c r="O240"/>
  <c r="O241" s="1"/>
  <c r="Q65"/>
  <c r="P65"/>
  <c r="O65"/>
  <c r="G35" i="20" l="1"/>
  <c r="G34" l="1"/>
  <c r="G32"/>
  <c r="N47" i="28" l="1"/>
  <c r="N46"/>
  <c r="J47"/>
  <c r="J46"/>
  <c r="F47"/>
  <c r="F46"/>
  <c r="N96"/>
  <c r="N95"/>
  <c r="N94"/>
  <c r="N93"/>
  <c r="N92"/>
  <c r="N91"/>
  <c r="N90"/>
  <c r="N89"/>
  <c r="N88"/>
  <c r="N87"/>
  <c r="N86"/>
  <c r="N85"/>
  <c r="N84"/>
  <c r="N83"/>
  <c r="N82"/>
  <c r="N81"/>
  <c r="N80"/>
  <c r="N79"/>
  <c r="N78"/>
  <c r="N77"/>
  <c r="N76"/>
  <c r="N75"/>
  <c r="N74"/>
  <c r="N73"/>
  <c r="N72"/>
  <c r="N71"/>
  <c r="N70"/>
  <c r="N69"/>
  <c r="N68"/>
  <c r="N67"/>
  <c r="N66"/>
  <c r="N65"/>
  <c r="N64"/>
  <c r="N63"/>
  <c r="N62"/>
  <c r="N61"/>
  <c r="N60"/>
  <c r="N59"/>
  <c r="N58"/>
  <c r="J96"/>
  <c r="J95"/>
  <c r="J94"/>
  <c r="J93"/>
  <c r="J92"/>
  <c r="J91"/>
  <c r="J90"/>
  <c r="J89"/>
  <c r="J88"/>
  <c r="J87"/>
  <c r="J86"/>
  <c r="J85"/>
  <c r="J84"/>
  <c r="J83"/>
  <c r="J82"/>
  <c r="J81"/>
  <c r="J80"/>
  <c r="J79"/>
  <c r="J78"/>
  <c r="J77"/>
  <c r="J76"/>
  <c r="J75"/>
  <c r="J74"/>
  <c r="J73"/>
  <c r="J72"/>
  <c r="J71"/>
  <c r="J70"/>
  <c r="J69"/>
  <c r="J68"/>
  <c r="J67"/>
  <c r="J66"/>
  <c r="J65"/>
  <c r="J64"/>
  <c r="J63"/>
  <c r="J62"/>
  <c r="J61"/>
  <c r="J60"/>
  <c r="J59"/>
  <c r="J58"/>
  <c r="F96"/>
  <c r="F95"/>
  <c r="F94"/>
  <c r="F93"/>
  <c r="F92"/>
  <c r="F91"/>
  <c r="F90"/>
  <c r="F89"/>
  <c r="F88"/>
  <c r="F87"/>
  <c r="F86"/>
  <c r="F85"/>
  <c r="F84"/>
  <c r="F83"/>
  <c r="F82"/>
  <c r="F81"/>
  <c r="F80"/>
  <c r="F79"/>
  <c r="F78"/>
  <c r="F77"/>
  <c r="F76"/>
  <c r="F75"/>
  <c r="F74"/>
  <c r="F73"/>
  <c r="F72"/>
  <c r="F71"/>
  <c r="F70"/>
  <c r="F69"/>
  <c r="F68"/>
  <c r="F67"/>
  <c r="F66"/>
  <c r="F65"/>
  <c r="F64"/>
  <c r="F63"/>
  <c r="F62"/>
  <c r="F61"/>
  <c r="F60"/>
  <c r="F59"/>
  <c r="F58"/>
  <c r="N114"/>
  <c r="N120"/>
  <c r="N119"/>
  <c r="N118"/>
  <c r="N117"/>
  <c r="N116"/>
  <c r="N115"/>
  <c r="N113"/>
  <c r="N112"/>
  <c r="N111"/>
  <c r="N110"/>
  <c r="N109"/>
  <c r="N108"/>
  <c r="N107"/>
  <c r="J111"/>
  <c r="J120"/>
  <c r="J119"/>
  <c r="J118"/>
  <c r="J117"/>
  <c r="J116"/>
  <c r="J115"/>
  <c r="J114"/>
  <c r="J113"/>
  <c r="J112"/>
  <c r="J110"/>
  <c r="J109"/>
  <c r="J108"/>
  <c r="J107"/>
  <c r="F120"/>
  <c r="F119"/>
  <c r="F118"/>
  <c r="F117"/>
  <c r="F116"/>
  <c r="F115"/>
  <c r="F114"/>
  <c r="F113"/>
  <c r="F112"/>
  <c r="F111"/>
  <c r="F110"/>
  <c r="F109"/>
  <c r="F108"/>
  <c r="F107"/>
  <c r="N145"/>
  <c r="N144"/>
  <c r="J145"/>
  <c r="J144"/>
  <c r="F145"/>
  <c r="F144"/>
  <c r="N162"/>
  <c r="N161"/>
  <c r="N160"/>
  <c r="N159"/>
  <c r="N158"/>
  <c r="N157"/>
  <c r="N156"/>
  <c r="N155"/>
  <c r="J162"/>
  <c r="J161"/>
  <c r="J160"/>
  <c r="J159"/>
  <c r="J158"/>
  <c r="J157"/>
  <c r="J156"/>
  <c r="J155"/>
  <c r="F162"/>
  <c r="F161"/>
  <c r="F160"/>
  <c r="F159"/>
  <c r="F158"/>
  <c r="F157"/>
  <c r="F156"/>
  <c r="F155"/>
  <c r="J164" i="27"/>
  <c r="F160"/>
  <c r="G61"/>
  <c r="F61" s="1"/>
  <c r="N97"/>
  <c r="N96"/>
  <c r="N95"/>
  <c r="N94"/>
  <c r="N93"/>
  <c r="N92"/>
  <c r="N91"/>
  <c r="N90"/>
  <c r="N89"/>
  <c r="N88"/>
  <c r="N87"/>
  <c r="N86"/>
  <c r="N85"/>
  <c r="N84"/>
  <c r="N83"/>
  <c r="N82"/>
  <c r="N81"/>
  <c r="N80"/>
  <c r="N79"/>
  <c r="N78"/>
  <c r="N77"/>
  <c r="N76"/>
  <c r="N75"/>
  <c r="N74"/>
  <c r="N73"/>
  <c r="N72"/>
  <c r="N71"/>
  <c r="N70"/>
  <c r="N69"/>
  <c r="N68"/>
  <c r="N67"/>
  <c r="N66"/>
  <c r="J97"/>
  <c r="J96"/>
  <c r="J95"/>
  <c r="J94"/>
  <c r="J93"/>
  <c r="J92"/>
  <c r="J91"/>
  <c r="J90"/>
  <c r="J89"/>
  <c r="J88"/>
  <c r="J87"/>
  <c r="J86"/>
  <c r="J85"/>
  <c r="J84"/>
  <c r="J83"/>
  <c r="J82"/>
  <c r="J81"/>
  <c r="J80"/>
  <c r="J79"/>
  <c r="J78"/>
  <c r="J77"/>
  <c r="J76"/>
  <c r="J75"/>
  <c r="J74"/>
  <c r="J73"/>
  <c r="J72"/>
  <c r="J71"/>
  <c r="J70"/>
  <c r="J69"/>
  <c r="J68"/>
  <c r="J67"/>
  <c r="J66"/>
  <c r="F97"/>
  <c r="F96"/>
  <c r="F95"/>
  <c r="F94"/>
  <c r="F93"/>
  <c r="F92"/>
  <c r="F91"/>
  <c r="F90"/>
  <c r="F89"/>
  <c r="F88"/>
  <c r="F87"/>
  <c r="F86"/>
  <c r="F85"/>
  <c r="F84"/>
  <c r="F83"/>
  <c r="F82"/>
  <c r="F81"/>
  <c r="F80"/>
  <c r="F79"/>
  <c r="F78"/>
  <c r="F77"/>
  <c r="F76"/>
  <c r="F75"/>
  <c r="F74"/>
  <c r="F73"/>
  <c r="F72"/>
  <c r="F71"/>
  <c r="F70"/>
  <c r="F69"/>
  <c r="F68"/>
  <c r="F67"/>
  <c r="F66"/>
  <c r="N124"/>
  <c r="N123"/>
  <c r="N122"/>
  <c r="N121"/>
  <c r="N120"/>
  <c r="N119"/>
  <c r="N118"/>
  <c r="N117"/>
  <c r="N116"/>
  <c r="N115"/>
  <c r="N114"/>
  <c r="N113"/>
  <c r="N112"/>
  <c r="J124"/>
  <c r="J123"/>
  <c r="J122"/>
  <c r="J121"/>
  <c r="J120"/>
  <c r="J119"/>
  <c r="J118"/>
  <c r="J117"/>
  <c r="J116"/>
  <c r="J115"/>
  <c r="J114"/>
  <c r="J113"/>
  <c r="J112"/>
  <c r="F124"/>
  <c r="F123"/>
  <c r="F122"/>
  <c r="F121"/>
  <c r="F120"/>
  <c r="F119"/>
  <c r="F118"/>
  <c r="F117"/>
  <c r="F116"/>
  <c r="F115"/>
  <c r="F114"/>
  <c r="F113"/>
  <c r="F112"/>
  <c r="N149"/>
  <c r="N148"/>
  <c r="J149"/>
  <c r="J148"/>
  <c r="F149"/>
  <c r="F148"/>
  <c r="N167"/>
  <c r="N166"/>
  <c r="N165"/>
  <c r="N164"/>
  <c r="N163"/>
  <c r="N162"/>
  <c r="N161"/>
  <c r="N160"/>
  <c r="N159"/>
  <c r="J167"/>
  <c r="J166"/>
  <c r="J165"/>
  <c r="J163"/>
  <c r="J162"/>
  <c r="J161"/>
  <c r="J160"/>
  <c r="J159"/>
  <c r="F167"/>
  <c r="F166"/>
  <c r="F165"/>
  <c r="F164"/>
  <c r="F163"/>
  <c r="F162"/>
  <c r="F161"/>
  <c r="F159"/>
  <c r="G46" i="20"/>
  <c r="F46" s="1"/>
  <c r="L10"/>
  <c r="N94"/>
  <c r="N95"/>
  <c r="N93"/>
  <c r="N92"/>
  <c r="N91"/>
  <c r="N90"/>
  <c r="N89"/>
  <c r="N88"/>
  <c r="N87"/>
  <c r="N86"/>
  <c r="N85"/>
  <c r="N84"/>
  <c r="N83"/>
  <c r="N82"/>
  <c r="N81"/>
  <c r="N80"/>
  <c r="N79"/>
  <c r="N78"/>
  <c r="N77"/>
  <c r="N76"/>
  <c r="N75"/>
  <c r="N74"/>
  <c r="N73"/>
  <c r="N72"/>
  <c r="N71"/>
  <c r="N70"/>
  <c r="N69"/>
  <c r="N68"/>
  <c r="N67"/>
  <c r="N66"/>
  <c r="N65"/>
  <c r="N64"/>
  <c r="N63"/>
  <c r="N62"/>
  <c r="N61"/>
  <c r="N60"/>
  <c r="N59"/>
  <c r="N58"/>
  <c r="N57"/>
  <c r="J95"/>
  <c r="J94"/>
  <c r="J93"/>
  <c r="J92"/>
  <c r="J91"/>
  <c r="J90"/>
  <c r="J89"/>
  <c r="J88"/>
  <c r="J87"/>
  <c r="J86"/>
  <c r="J85"/>
  <c r="J84"/>
  <c r="J83"/>
  <c r="J82"/>
  <c r="J81"/>
  <c r="J80"/>
  <c r="J79"/>
  <c r="J78"/>
  <c r="J77"/>
  <c r="J76"/>
  <c r="J75"/>
  <c r="J74"/>
  <c r="J73"/>
  <c r="J72"/>
  <c r="J71"/>
  <c r="J70"/>
  <c r="J69"/>
  <c r="J68"/>
  <c r="J67"/>
  <c r="J66"/>
  <c r="J65"/>
  <c r="J64"/>
  <c r="J63"/>
  <c r="J62"/>
  <c r="J61"/>
  <c r="J60"/>
  <c r="J59"/>
  <c r="J58"/>
  <c r="J57"/>
  <c r="F95"/>
  <c r="F94"/>
  <c r="F93"/>
  <c r="F92"/>
  <c r="F91"/>
  <c r="F90"/>
  <c r="F89"/>
  <c r="F88"/>
  <c r="F87"/>
  <c r="F86"/>
  <c r="F85"/>
  <c r="F84"/>
  <c r="F83"/>
  <c r="F82"/>
  <c r="F81"/>
  <c r="F80"/>
  <c r="F79"/>
  <c r="F78"/>
  <c r="F77"/>
  <c r="F76"/>
  <c r="F75"/>
  <c r="F74"/>
  <c r="F73"/>
  <c r="F72"/>
  <c r="F71"/>
  <c r="F70"/>
  <c r="F69"/>
  <c r="F68"/>
  <c r="F67"/>
  <c r="F66"/>
  <c r="F65"/>
  <c r="F64"/>
  <c r="F63"/>
  <c r="F62"/>
  <c r="F61"/>
  <c r="F60"/>
  <c r="F59"/>
  <c r="F58"/>
  <c r="F57"/>
  <c r="O108"/>
  <c r="N108" s="1"/>
  <c r="O122"/>
  <c r="K108"/>
  <c r="J108" s="1"/>
  <c r="K122"/>
  <c r="G108"/>
  <c r="F108" s="1"/>
  <c r="G122"/>
  <c r="N120"/>
  <c r="N119"/>
  <c r="N118"/>
  <c r="J120"/>
  <c r="J119"/>
  <c r="J118"/>
  <c r="J117"/>
  <c r="J116"/>
  <c r="J115"/>
  <c r="J114"/>
  <c r="J113"/>
  <c r="J112"/>
  <c r="J111"/>
  <c r="J110"/>
  <c r="J109"/>
  <c r="J107"/>
  <c r="J106"/>
  <c r="F120"/>
  <c r="F119"/>
  <c r="F118"/>
  <c r="F117"/>
  <c r="F116"/>
  <c r="F115"/>
  <c r="F114"/>
  <c r="F113"/>
  <c r="F112"/>
  <c r="F111"/>
  <c r="F110"/>
  <c r="F109"/>
  <c r="F107"/>
  <c r="F106"/>
  <c r="N155"/>
  <c r="N156"/>
  <c r="N157"/>
  <c r="N158"/>
  <c r="N159"/>
  <c r="N160"/>
  <c r="N161"/>
  <c r="J155"/>
  <c r="J156"/>
  <c r="J157"/>
  <c r="J158"/>
  <c r="J159"/>
  <c r="J160"/>
  <c r="J161"/>
  <c r="F156"/>
  <c r="F157"/>
  <c r="F158"/>
  <c r="F159"/>
  <c r="F160"/>
  <c r="G173"/>
  <c r="X44" i="13" l="1"/>
  <c r="W44"/>
  <c r="V44"/>
  <c r="X43"/>
  <c r="W43"/>
  <c r="V43"/>
  <c r="X42"/>
  <c r="W42"/>
  <c r="V42"/>
  <c r="X41"/>
  <c r="W41"/>
  <c r="V41"/>
  <c r="X40"/>
  <c r="W40"/>
  <c r="V40"/>
  <c r="X39"/>
  <c r="W39"/>
  <c r="V39"/>
  <c r="X38"/>
  <c r="W38"/>
  <c r="V38"/>
  <c r="X37"/>
  <c r="W37"/>
  <c r="V37"/>
  <c r="X36"/>
  <c r="W36"/>
  <c r="V36"/>
  <c r="X35"/>
  <c r="W35"/>
  <c r="V35"/>
  <c r="X34"/>
  <c r="W34"/>
  <c r="V34"/>
  <c r="X33"/>
  <c r="W33"/>
  <c r="V33"/>
  <c r="X32"/>
  <c r="W32"/>
  <c r="V32"/>
  <c r="X31"/>
  <c r="W31"/>
  <c r="V31"/>
  <c r="X29"/>
  <c r="W29"/>
  <c r="V29"/>
  <c r="X28"/>
  <c r="W28"/>
  <c r="V28"/>
  <c r="X27"/>
  <c r="W27"/>
  <c r="V27"/>
  <c r="X26"/>
  <c r="W26"/>
  <c r="V26"/>
  <c r="X25"/>
  <c r="W25"/>
  <c r="V25"/>
  <c r="X24"/>
  <c r="W24"/>
  <c r="V24"/>
  <c r="L38" i="19" l="1"/>
  <c r="I38"/>
  <c r="F38"/>
  <c r="G35" i="18" l="1"/>
  <c r="F53" i="10" l="1"/>
  <c r="F54"/>
  <c r="H54"/>
  <c r="G54"/>
  <c r="H53"/>
  <c r="G53"/>
  <c r="H52"/>
  <c r="G52"/>
  <c r="F52"/>
  <c r="H51"/>
  <c r="H50" s="1"/>
  <c r="G51"/>
  <c r="G50" s="1"/>
  <c r="F51"/>
  <c r="F50" s="1"/>
  <c r="H49" l="1"/>
  <c r="G49"/>
  <c r="F18" i="19"/>
  <c r="F49" i="10"/>
  <c r="I18" i="19"/>
  <c r="L18"/>
  <c r="K20" i="10" l="1"/>
  <c r="F104" l="1"/>
  <c r="N88" i="18" l="1"/>
  <c r="L88" s="1"/>
  <c r="M88"/>
  <c r="J88"/>
  <c r="H88" s="1"/>
  <c r="I88"/>
  <c r="F88"/>
  <c r="D88" s="1"/>
  <c r="E88"/>
  <c r="N78"/>
  <c r="L78" s="1"/>
  <c r="J78"/>
  <c r="H78" s="1"/>
  <c r="F78"/>
  <c r="D78" s="1"/>
  <c r="A267" i="13"/>
  <c r="B267"/>
  <c r="C267"/>
  <c r="D267"/>
  <c r="E267"/>
  <c r="F267"/>
  <c r="J267"/>
  <c r="F90" i="18" l="1"/>
  <c r="M78"/>
  <c r="E78"/>
  <c r="I78"/>
  <c r="A193" i="13"/>
  <c r="A194"/>
  <c r="A195"/>
  <c r="A196"/>
  <c r="A197"/>
  <c r="A198"/>
  <c r="A199"/>
  <c r="A200"/>
  <c r="A201"/>
  <c r="A202"/>
  <c r="A203"/>
  <c r="A204"/>
  <c r="A205"/>
  <c r="B193"/>
  <c r="B194"/>
  <c r="B195"/>
  <c r="B196"/>
  <c r="B197"/>
  <c r="B198"/>
  <c r="B199"/>
  <c r="B200"/>
  <c r="B201"/>
  <c r="B202"/>
  <c r="B203"/>
  <c r="B204"/>
  <c r="B205"/>
  <c r="C193"/>
  <c r="C194"/>
  <c r="C195"/>
  <c r="C196"/>
  <c r="C197"/>
  <c r="C198"/>
  <c r="C199"/>
  <c r="C200"/>
  <c r="C201"/>
  <c r="C202"/>
  <c r="C203"/>
  <c r="C204"/>
  <c r="C205"/>
  <c r="D193"/>
  <c r="D194"/>
  <c r="D195"/>
  <c r="D196"/>
  <c r="D197"/>
  <c r="D198"/>
  <c r="D199"/>
  <c r="D200"/>
  <c r="D201"/>
  <c r="D202"/>
  <c r="D203"/>
  <c r="D204"/>
  <c r="D205"/>
  <c r="E193"/>
  <c r="E194"/>
  <c r="E195"/>
  <c r="E196"/>
  <c r="E197"/>
  <c r="E198"/>
  <c r="E199"/>
  <c r="E200"/>
  <c r="E201"/>
  <c r="E202"/>
  <c r="E203"/>
  <c r="E204"/>
  <c r="E205"/>
  <c r="F193"/>
  <c r="F194"/>
  <c r="F195"/>
  <c r="F196"/>
  <c r="F197"/>
  <c r="F198"/>
  <c r="F199"/>
  <c r="F200"/>
  <c r="F201"/>
  <c r="F202"/>
  <c r="F203"/>
  <c r="F204"/>
  <c r="F205"/>
  <c r="J193"/>
  <c r="J194"/>
  <c r="J195"/>
  <c r="J196"/>
  <c r="J197"/>
  <c r="J198"/>
  <c r="J199"/>
  <c r="J200"/>
  <c r="J201"/>
  <c r="J202"/>
  <c r="J203"/>
  <c r="J204"/>
  <c r="J205"/>
  <c r="AE78" l="1"/>
  <c r="AE77"/>
  <c r="AE76"/>
  <c r="AE75"/>
  <c r="AE74"/>
  <c r="AE73"/>
  <c r="AE72"/>
  <c r="AE71"/>
  <c r="AE70"/>
  <c r="AE69"/>
  <c r="AE249"/>
  <c r="AE250"/>
  <c r="AE251"/>
  <c r="AE252"/>
  <c r="AE253"/>
  <c r="AE254"/>
  <c r="AE255"/>
  <c r="AE256"/>
  <c r="AE257"/>
  <c r="AE258"/>
  <c r="AE259"/>
  <c r="AE260"/>
  <c r="AE261"/>
  <c r="AE262"/>
  <c r="AE263"/>
  <c r="AE264"/>
  <c r="AE265"/>
  <c r="AE266"/>
  <c r="AE267"/>
  <c r="AE268"/>
  <c r="AE269"/>
  <c r="AE270"/>
  <c r="AE271"/>
  <c r="AE272"/>
  <c r="AE273"/>
  <c r="AE274"/>
  <c r="AE275"/>
  <c r="AE276"/>
  <c r="AE277"/>
  <c r="AE278"/>
  <c r="AE279"/>
  <c r="AE280"/>
  <c r="AE281"/>
  <c r="AE282"/>
  <c r="AE283"/>
  <c r="AE284"/>
  <c r="AE285"/>
  <c r="AE286"/>
  <c r="AE287"/>
  <c r="AE288"/>
  <c r="AE289"/>
  <c r="AE290"/>
  <c r="AE291"/>
  <c r="AE292"/>
  <c r="AE293"/>
  <c r="AE294"/>
  <c r="AE295"/>
  <c r="AE296"/>
  <c r="AE297"/>
  <c r="AE298"/>
  <c r="AE299"/>
  <c r="AE300"/>
  <c r="AE301"/>
  <c r="AE302"/>
  <c r="AE303"/>
  <c r="AE304"/>
  <c r="AE305"/>
  <c r="AE306"/>
  <c r="AE307"/>
  <c r="AE308"/>
  <c r="AE309"/>
  <c r="AE310"/>
  <c r="AE311"/>
  <c r="AE312"/>
  <c r="AE313"/>
  <c r="AE314"/>
  <c r="AE315"/>
  <c r="AE248"/>
  <c r="AE225"/>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139"/>
  <c r="AE115"/>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N162" i="20" l="1"/>
  <c r="J162"/>
  <c r="F162"/>
  <c r="I52" i="17"/>
  <c r="J99" i="18" l="1"/>
  <c r="H35" i="12" l="1"/>
  <c r="J33"/>
  <c r="J39" s="1"/>
  <c r="J43" s="1"/>
  <c r="I33"/>
  <c r="I39" s="1"/>
  <c r="I42" s="1"/>
  <c r="H33"/>
  <c r="J30"/>
  <c r="J29" s="1"/>
  <c r="I30"/>
  <c r="I29" s="1"/>
  <c r="J26"/>
  <c r="I26"/>
  <c r="H26"/>
  <c r="J23"/>
  <c r="I23"/>
  <c r="H23"/>
  <c r="J20"/>
  <c r="J19" s="1"/>
  <c r="I20"/>
  <c r="I19" s="1"/>
  <c r="H20"/>
  <c r="H19" s="1"/>
  <c r="J17"/>
  <c r="J16" s="1"/>
  <c r="I17"/>
  <c r="H17"/>
  <c r="J11"/>
  <c r="I11"/>
  <c r="H11"/>
  <c r="J10"/>
  <c r="I10"/>
  <c r="H10"/>
  <c r="H39" l="1"/>
  <c r="H41" s="1"/>
  <c r="H30"/>
  <c r="H34" s="1"/>
  <c r="H36" s="1"/>
  <c r="I34"/>
  <c r="I37" s="1"/>
  <c r="J15"/>
  <c r="I16"/>
  <c r="I15" s="1"/>
  <c r="H16"/>
  <c r="J34"/>
  <c r="J38" s="1"/>
  <c r="A221" i="13"/>
  <c r="B221"/>
  <c r="C221"/>
  <c r="D221"/>
  <c r="E221"/>
  <c r="F221"/>
  <c r="J221"/>
  <c r="A220"/>
  <c r="B220"/>
  <c r="C220"/>
  <c r="D220"/>
  <c r="E220"/>
  <c r="F220"/>
  <c r="J220"/>
  <c r="H29" i="12" l="1"/>
  <c r="K18" i="13" s="1"/>
  <c r="L95" i="19"/>
  <c r="K95" s="1"/>
  <c r="J95" s="1"/>
  <c r="L94"/>
  <c r="I95"/>
  <c r="H95" s="1"/>
  <c r="G95" s="1"/>
  <c r="I94"/>
  <c r="F95"/>
  <c r="E95" s="1"/>
  <c r="D95" s="1"/>
  <c r="F94"/>
  <c r="A234" i="13"/>
  <c r="B234"/>
  <c r="C234"/>
  <c r="D234"/>
  <c r="E234"/>
  <c r="F234"/>
  <c r="J234"/>
  <c r="H15" i="12" l="1"/>
  <c r="F36" i="30" l="1"/>
  <c r="D39"/>
  <c r="C36"/>
  <c r="J20" i="21"/>
  <c r="J16"/>
  <c r="L51" i="19" l="1"/>
  <c r="I51"/>
  <c r="F51"/>
  <c r="E51" s="1"/>
  <c r="L50"/>
  <c r="I50"/>
  <c r="F50"/>
  <c r="E50" s="1"/>
  <c r="A153" i="13"/>
  <c r="B153"/>
  <c r="C153"/>
  <c r="D153"/>
  <c r="E153"/>
  <c r="F153"/>
  <c r="J153"/>
  <c r="C69"/>
  <c r="C70"/>
  <c r="C71"/>
  <c r="C72"/>
  <c r="C73"/>
  <c r="C74"/>
  <c r="C75"/>
  <c r="C76"/>
  <c r="C77"/>
  <c r="C79"/>
  <c r="C78"/>
  <c r="C80"/>
  <c r="C81"/>
  <c r="C82"/>
  <c r="C83"/>
  <c r="C84"/>
  <c r="C85"/>
  <c r="C86"/>
  <c r="C87"/>
  <c r="C88"/>
  <c r="C89"/>
  <c r="C90"/>
  <c r="C91"/>
  <c r="C92"/>
  <c r="C93"/>
  <c r="C94"/>
  <c r="C95"/>
  <c r="C96"/>
  <c r="C97"/>
  <c r="C98"/>
  <c r="C99"/>
  <c r="C100"/>
  <c r="C101"/>
  <c r="C102"/>
  <c r="C103"/>
  <c r="C104"/>
  <c r="C105"/>
  <c r="C106"/>
  <c r="C107"/>
  <c r="C108"/>
  <c r="C109"/>
  <c r="C110"/>
  <c r="C111"/>
  <c r="C112"/>
  <c r="C113"/>
  <c r="C114"/>
  <c r="C115"/>
  <c r="F69"/>
  <c r="A69"/>
  <c r="A70"/>
  <c r="A71"/>
  <c r="A72"/>
  <c r="A73"/>
  <c r="A74"/>
  <c r="A75"/>
  <c r="A76"/>
  <c r="A77"/>
  <c r="A79"/>
  <c r="A78"/>
  <c r="A80"/>
  <c r="A81"/>
  <c r="A82"/>
  <c r="A83"/>
  <c r="A84"/>
  <c r="A85"/>
  <c r="A86"/>
  <c r="A87"/>
  <c r="A88"/>
  <c r="A89"/>
  <c r="A90"/>
  <c r="A91"/>
  <c r="A92"/>
  <c r="A93"/>
  <c r="A94"/>
  <c r="A95"/>
  <c r="A96"/>
  <c r="A97"/>
  <c r="A98"/>
  <c r="A99"/>
  <c r="A100"/>
  <c r="A101"/>
  <c r="A102"/>
  <c r="A103"/>
  <c r="A104"/>
  <c r="A105"/>
  <c r="A106"/>
  <c r="A107"/>
  <c r="A108"/>
  <c r="A109"/>
  <c r="A110"/>
  <c r="A111"/>
  <c r="A112"/>
  <c r="A113"/>
  <c r="A114"/>
  <c r="A115"/>
  <c r="D69"/>
  <c r="F70"/>
  <c r="F71"/>
  <c r="F72"/>
  <c r="F73"/>
  <c r="F74"/>
  <c r="F75"/>
  <c r="F76"/>
  <c r="F77"/>
  <c r="F79"/>
  <c r="F78"/>
  <c r="F80"/>
  <c r="F81"/>
  <c r="F82"/>
  <c r="F83"/>
  <c r="F84"/>
  <c r="F85"/>
  <c r="F86"/>
  <c r="F87"/>
  <c r="F88"/>
  <c r="F89"/>
  <c r="F90"/>
  <c r="F91"/>
  <c r="F92"/>
  <c r="F93"/>
  <c r="F94"/>
  <c r="F95"/>
  <c r="F96"/>
  <c r="F97"/>
  <c r="F98"/>
  <c r="F99"/>
  <c r="F100"/>
  <c r="F101"/>
  <c r="F102"/>
  <c r="F103"/>
  <c r="F104"/>
  <c r="F105"/>
  <c r="F106"/>
  <c r="F107"/>
  <c r="F108"/>
  <c r="F109"/>
  <c r="F110"/>
  <c r="F111"/>
  <c r="F112"/>
  <c r="F113"/>
  <c r="F114"/>
  <c r="F115"/>
  <c r="D70"/>
  <c r="D71"/>
  <c r="D72"/>
  <c r="D73"/>
  <c r="D74"/>
  <c r="D75"/>
  <c r="D76"/>
  <c r="D77"/>
  <c r="D79"/>
  <c r="D78"/>
  <c r="D80"/>
  <c r="D81"/>
  <c r="D82"/>
  <c r="D83"/>
  <c r="D84"/>
  <c r="D85"/>
  <c r="D86"/>
  <c r="D87"/>
  <c r="D88"/>
  <c r="D89"/>
  <c r="D90"/>
  <c r="D91"/>
  <c r="D92"/>
  <c r="D93"/>
  <c r="D94"/>
  <c r="D95"/>
  <c r="D96"/>
  <c r="D97"/>
  <c r="D98"/>
  <c r="D99"/>
  <c r="D100"/>
  <c r="D101"/>
  <c r="D102"/>
  <c r="D103"/>
  <c r="D104"/>
  <c r="D105"/>
  <c r="D106"/>
  <c r="D107"/>
  <c r="D108"/>
  <c r="D109"/>
  <c r="D110"/>
  <c r="D111"/>
  <c r="D112"/>
  <c r="D113"/>
  <c r="D114"/>
  <c r="D115"/>
  <c r="C261"/>
  <c r="C262"/>
  <c r="C263"/>
  <c r="C264"/>
  <c r="C265"/>
  <c r="C266"/>
  <c r="C268"/>
  <c r="C269"/>
  <c r="C270"/>
  <c r="C271"/>
  <c r="C272"/>
  <c r="C273"/>
  <c r="C275"/>
  <c r="C276"/>
  <c r="C277"/>
  <c r="C278"/>
  <c r="C279"/>
  <c r="C280"/>
  <c r="C281"/>
  <c r="C274"/>
  <c r="C282"/>
  <c r="C283"/>
  <c r="C284"/>
  <c r="C285"/>
  <c r="C286"/>
  <c r="C287"/>
  <c r="C288"/>
  <c r="C289"/>
  <c r="C290"/>
  <c r="C291"/>
  <c r="C292"/>
  <c r="F261"/>
  <c r="B261"/>
  <c r="B262"/>
  <c r="B263"/>
  <c r="B264"/>
  <c r="B265"/>
  <c r="B266"/>
  <c r="B268"/>
  <c r="B269"/>
  <c r="B270"/>
  <c r="B271"/>
  <c r="B272"/>
  <c r="B273"/>
  <c r="B275"/>
  <c r="B276"/>
  <c r="B277"/>
  <c r="B278"/>
  <c r="B279"/>
  <c r="B280"/>
  <c r="B281"/>
  <c r="B274"/>
  <c r="B282"/>
  <c r="B283"/>
  <c r="B284"/>
  <c r="B285"/>
  <c r="B286"/>
  <c r="B287"/>
  <c r="B288"/>
  <c r="B289"/>
  <c r="B290"/>
  <c r="B291"/>
  <c r="B292"/>
  <c r="E261"/>
  <c r="A261"/>
  <c r="A262"/>
  <c r="A263"/>
  <c r="A264"/>
  <c r="A265"/>
  <c r="A266"/>
  <c r="A268"/>
  <c r="A269"/>
  <c r="A270"/>
  <c r="A271"/>
  <c r="A272"/>
  <c r="A273"/>
  <c r="A275"/>
  <c r="A276"/>
  <c r="A277"/>
  <c r="A278"/>
  <c r="A279"/>
  <c r="A280"/>
  <c r="A281"/>
  <c r="A274"/>
  <c r="A282"/>
  <c r="A283"/>
  <c r="A284"/>
  <c r="A285"/>
  <c r="A286"/>
  <c r="A287"/>
  <c r="A288"/>
  <c r="A289"/>
  <c r="A290"/>
  <c r="A291"/>
  <c r="A292"/>
  <c r="D261"/>
  <c r="E262"/>
  <c r="E263"/>
  <c r="E264"/>
  <c r="E265"/>
  <c r="E266"/>
  <c r="E268"/>
  <c r="E269"/>
  <c r="E270"/>
  <c r="E271"/>
  <c r="E272"/>
  <c r="E273"/>
  <c r="E275"/>
  <c r="E276"/>
  <c r="E277"/>
  <c r="E278"/>
  <c r="E279"/>
  <c r="E280"/>
  <c r="E281"/>
  <c r="E274"/>
  <c r="E282"/>
  <c r="E283"/>
  <c r="E284"/>
  <c r="E285"/>
  <c r="E286"/>
  <c r="E287"/>
  <c r="E288"/>
  <c r="E289"/>
  <c r="E290"/>
  <c r="E291"/>
  <c r="E292"/>
  <c r="D262"/>
  <c r="D263"/>
  <c r="D264"/>
  <c r="D265"/>
  <c r="D266"/>
  <c r="D268"/>
  <c r="D269"/>
  <c r="D270"/>
  <c r="D271"/>
  <c r="D272"/>
  <c r="D273"/>
  <c r="D275"/>
  <c r="D276"/>
  <c r="D277"/>
  <c r="D278"/>
  <c r="D279"/>
  <c r="D280"/>
  <c r="D281"/>
  <c r="D274"/>
  <c r="D282"/>
  <c r="D283"/>
  <c r="D284"/>
  <c r="D285"/>
  <c r="D286"/>
  <c r="D287"/>
  <c r="D288"/>
  <c r="D289"/>
  <c r="D290"/>
  <c r="D291"/>
  <c r="D292"/>
  <c r="C139"/>
  <c r="C141"/>
  <c r="C142"/>
  <c r="C146"/>
  <c r="C150"/>
  <c r="C157"/>
  <c r="C158"/>
  <c r="C154"/>
  <c r="C156"/>
  <c r="C223"/>
  <c r="C224"/>
  <c r="C225"/>
  <c r="C159"/>
  <c r="C180"/>
  <c r="C155"/>
  <c r="C217"/>
  <c r="C160"/>
  <c r="C161"/>
  <c r="C177"/>
  <c r="C210"/>
  <c r="C211"/>
  <c r="C212"/>
  <c r="C213"/>
  <c r="C214"/>
  <c r="C215"/>
  <c r="C218"/>
  <c r="C143"/>
  <c r="C144"/>
  <c r="C145"/>
  <c r="C162"/>
  <c r="C163"/>
  <c r="C164"/>
  <c r="C222"/>
  <c r="C178"/>
  <c r="C181"/>
  <c r="C147"/>
  <c r="C149"/>
  <c r="C182"/>
  <c r="C148"/>
  <c r="C206"/>
  <c r="C208"/>
  <c r="C209"/>
  <c r="C216"/>
  <c r="C219"/>
  <c r="C165"/>
  <c r="C183"/>
  <c r="C166"/>
  <c r="C184"/>
  <c r="C226"/>
  <c r="C229"/>
  <c r="C227"/>
  <c r="C151"/>
  <c r="C228"/>
  <c r="C140"/>
  <c r="C152"/>
  <c r="C233"/>
  <c r="C231"/>
  <c r="C232"/>
  <c r="C235"/>
  <c r="C236"/>
  <c r="C237"/>
  <c r="C230"/>
  <c r="C238"/>
  <c r="C176"/>
  <c r="C179"/>
  <c r="C185"/>
  <c r="C167"/>
  <c r="C186"/>
  <c r="C168"/>
  <c r="C187"/>
  <c r="C169"/>
  <c r="C207"/>
  <c r="C170"/>
  <c r="C188"/>
  <c r="C171"/>
  <c r="C189"/>
  <c r="C172"/>
  <c r="C190"/>
  <c r="C173"/>
  <c r="C191"/>
  <c r="C174"/>
  <c r="C192"/>
  <c r="C175"/>
  <c r="F139"/>
  <c r="B139"/>
  <c r="B141"/>
  <c r="B142"/>
  <c r="B146"/>
  <c r="B150"/>
  <c r="B157"/>
  <c r="B158"/>
  <c r="B154"/>
  <c r="B156"/>
  <c r="B223"/>
  <c r="B224"/>
  <c r="B225"/>
  <c r="B159"/>
  <c r="B180"/>
  <c r="B155"/>
  <c r="B217"/>
  <c r="B160"/>
  <c r="B161"/>
  <c r="B177"/>
  <c r="B210"/>
  <c r="B211"/>
  <c r="B212"/>
  <c r="B213"/>
  <c r="B214"/>
  <c r="B215"/>
  <c r="B218"/>
  <c r="B143"/>
  <c r="B144"/>
  <c r="B145"/>
  <c r="B162"/>
  <c r="B163"/>
  <c r="B164"/>
  <c r="B222"/>
  <c r="B178"/>
  <c r="B181"/>
  <c r="B147"/>
  <c r="B149"/>
  <c r="B182"/>
  <c r="B148"/>
  <c r="B206"/>
  <c r="B208"/>
  <c r="B209"/>
  <c r="B216"/>
  <c r="B219"/>
  <c r="B165"/>
  <c r="B183"/>
  <c r="B166"/>
  <c r="B184"/>
  <c r="B226"/>
  <c r="B229"/>
  <c r="B227"/>
  <c r="B151"/>
  <c r="B228"/>
  <c r="B140"/>
  <c r="B152"/>
  <c r="B233"/>
  <c r="B231"/>
  <c r="B232"/>
  <c r="B235"/>
  <c r="B236"/>
  <c r="B237"/>
  <c r="B230"/>
  <c r="B238"/>
  <c r="B176"/>
  <c r="B179"/>
  <c r="B185"/>
  <c r="B167"/>
  <c r="B186"/>
  <c r="B168"/>
  <c r="B187"/>
  <c r="B169"/>
  <c r="B207"/>
  <c r="B170"/>
  <c r="B188"/>
  <c r="B171"/>
  <c r="B189"/>
  <c r="B172"/>
  <c r="B190"/>
  <c r="B173"/>
  <c r="B191"/>
  <c r="B174"/>
  <c r="B192"/>
  <c r="B175"/>
  <c r="E139"/>
  <c r="A139"/>
  <c r="A141"/>
  <c r="A142"/>
  <c r="A146"/>
  <c r="A150"/>
  <c r="A157"/>
  <c r="A158"/>
  <c r="A154"/>
  <c r="A156"/>
  <c r="A223"/>
  <c r="A224"/>
  <c r="A225"/>
  <c r="A159"/>
  <c r="A180"/>
  <c r="A155"/>
  <c r="A217"/>
  <c r="A160"/>
  <c r="A161"/>
  <c r="A177"/>
  <c r="A210"/>
  <c r="A211"/>
  <c r="A212"/>
  <c r="A213"/>
  <c r="A214"/>
  <c r="A215"/>
  <c r="A218"/>
  <c r="A143"/>
  <c r="A144"/>
  <c r="A145"/>
  <c r="A162"/>
  <c r="A163"/>
  <c r="A164"/>
  <c r="A222"/>
  <c r="A178"/>
  <c r="A181"/>
  <c r="A147"/>
  <c r="A149"/>
  <c r="A182"/>
  <c r="A148"/>
  <c r="A206"/>
  <c r="A208"/>
  <c r="A209"/>
  <c r="A216"/>
  <c r="A219"/>
  <c r="A165"/>
  <c r="A183"/>
  <c r="A166"/>
  <c r="A184"/>
  <c r="A226"/>
  <c r="A229"/>
  <c r="A227"/>
  <c r="A151"/>
  <c r="A228"/>
  <c r="A140"/>
  <c r="A152"/>
  <c r="A233"/>
  <c r="A231"/>
  <c r="A232"/>
  <c r="A235"/>
  <c r="A236"/>
  <c r="A237"/>
  <c r="A230"/>
  <c r="A238"/>
  <c r="A176"/>
  <c r="A179"/>
  <c r="A185"/>
  <c r="A167"/>
  <c r="A186"/>
  <c r="A168"/>
  <c r="A187"/>
  <c r="A169"/>
  <c r="A207"/>
  <c r="A170"/>
  <c r="A188"/>
  <c r="A171"/>
  <c r="A189"/>
  <c r="A172"/>
  <c r="A190"/>
  <c r="A173"/>
  <c r="A191"/>
  <c r="A174"/>
  <c r="A192"/>
  <c r="A175"/>
  <c r="D139"/>
  <c r="F141"/>
  <c r="F142"/>
  <c r="F146"/>
  <c r="F150"/>
  <c r="F157"/>
  <c r="F158"/>
  <c r="F154"/>
  <c r="F156"/>
  <c r="F223"/>
  <c r="F224"/>
  <c r="F225"/>
  <c r="F159"/>
  <c r="F180"/>
  <c r="F155"/>
  <c r="F217"/>
  <c r="F160"/>
  <c r="F161"/>
  <c r="F177"/>
  <c r="F210"/>
  <c r="F211"/>
  <c r="F212"/>
  <c r="F213"/>
  <c r="F214"/>
  <c r="F215"/>
  <c r="F218"/>
  <c r="F143"/>
  <c r="F144"/>
  <c r="F145"/>
  <c r="F162"/>
  <c r="F163"/>
  <c r="F164"/>
  <c r="F222"/>
  <c r="F178"/>
  <c r="F181"/>
  <c r="F147"/>
  <c r="F149"/>
  <c r="F182"/>
  <c r="F148"/>
  <c r="F206"/>
  <c r="F208"/>
  <c r="F209"/>
  <c r="F216"/>
  <c r="F219"/>
  <c r="F165"/>
  <c r="F183"/>
  <c r="F166"/>
  <c r="F184"/>
  <c r="F226"/>
  <c r="F229"/>
  <c r="F227"/>
  <c r="F151"/>
  <c r="F228"/>
  <c r="F140"/>
  <c r="F152"/>
  <c r="F233"/>
  <c r="F231"/>
  <c r="F232"/>
  <c r="F235"/>
  <c r="F236"/>
  <c r="F237"/>
  <c r="F230"/>
  <c r="F238"/>
  <c r="F176"/>
  <c r="F179"/>
  <c r="F185"/>
  <c r="F167"/>
  <c r="F186"/>
  <c r="F168"/>
  <c r="F187"/>
  <c r="F169"/>
  <c r="F207"/>
  <c r="F170"/>
  <c r="F188"/>
  <c r="F171"/>
  <c r="F189"/>
  <c r="F172"/>
  <c r="F190"/>
  <c r="F173"/>
  <c r="F191"/>
  <c r="F174"/>
  <c r="F192"/>
  <c r="F175"/>
  <c r="E141"/>
  <c r="E142"/>
  <c r="E146"/>
  <c r="E150"/>
  <c r="E157"/>
  <c r="E158"/>
  <c r="E154"/>
  <c r="E156"/>
  <c r="E223"/>
  <c r="E224"/>
  <c r="E225"/>
  <c r="E159"/>
  <c r="E180"/>
  <c r="E155"/>
  <c r="E217"/>
  <c r="E160"/>
  <c r="E161"/>
  <c r="E177"/>
  <c r="E210"/>
  <c r="E211"/>
  <c r="E212"/>
  <c r="E213"/>
  <c r="E214"/>
  <c r="E215"/>
  <c r="E218"/>
  <c r="E143"/>
  <c r="E144"/>
  <c r="E145"/>
  <c r="E162"/>
  <c r="E163"/>
  <c r="E164"/>
  <c r="E222"/>
  <c r="E178"/>
  <c r="E181"/>
  <c r="E147"/>
  <c r="E149"/>
  <c r="E182"/>
  <c r="E148"/>
  <c r="E206"/>
  <c r="E208"/>
  <c r="E209"/>
  <c r="E216"/>
  <c r="E219"/>
  <c r="E165"/>
  <c r="E183"/>
  <c r="E166"/>
  <c r="E184"/>
  <c r="E226"/>
  <c r="E229"/>
  <c r="E227"/>
  <c r="E151"/>
  <c r="E228"/>
  <c r="E140"/>
  <c r="E152"/>
  <c r="E233"/>
  <c r="E231"/>
  <c r="E232"/>
  <c r="E235"/>
  <c r="E236"/>
  <c r="E237"/>
  <c r="E230"/>
  <c r="E238"/>
  <c r="E176"/>
  <c r="E179"/>
  <c r="E185"/>
  <c r="E167"/>
  <c r="E186"/>
  <c r="E168"/>
  <c r="E187"/>
  <c r="E169"/>
  <c r="E207"/>
  <c r="E170"/>
  <c r="E188"/>
  <c r="E171"/>
  <c r="E189"/>
  <c r="E172"/>
  <c r="E190"/>
  <c r="E173"/>
  <c r="E191"/>
  <c r="E174"/>
  <c r="E192"/>
  <c r="E175"/>
  <c r="D141"/>
  <c r="D142"/>
  <c r="D146"/>
  <c r="D150"/>
  <c r="D157"/>
  <c r="D158"/>
  <c r="D154"/>
  <c r="D156"/>
  <c r="D223"/>
  <c r="D224"/>
  <c r="D225"/>
  <c r="D159"/>
  <c r="D180"/>
  <c r="D155"/>
  <c r="D217"/>
  <c r="D160"/>
  <c r="D161"/>
  <c r="D177"/>
  <c r="D210"/>
  <c r="D211"/>
  <c r="D212"/>
  <c r="D213"/>
  <c r="D214"/>
  <c r="D215"/>
  <c r="D218"/>
  <c r="D143"/>
  <c r="D144"/>
  <c r="D145"/>
  <c r="D162"/>
  <c r="D163"/>
  <c r="D164"/>
  <c r="D222"/>
  <c r="D178"/>
  <c r="D181"/>
  <c r="D147"/>
  <c r="D149"/>
  <c r="D182"/>
  <c r="D148"/>
  <c r="D206"/>
  <c r="D208"/>
  <c r="D209"/>
  <c r="D216"/>
  <c r="D219"/>
  <c r="D165"/>
  <c r="D183"/>
  <c r="D166"/>
  <c r="D184"/>
  <c r="D226"/>
  <c r="D229"/>
  <c r="D227"/>
  <c r="D151"/>
  <c r="D228"/>
  <c r="D140"/>
  <c r="D152"/>
  <c r="D233"/>
  <c r="D231"/>
  <c r="D232"/>
  <c r="D235"/>
  <c r="D236"/>
  <c r="D237"/>
  <c r="D230"/>
  <c r="D238"/>
  <c r="D176"/>
  <c r="D179"/>
  <c r="D185"/>
  <c r="D167"/>
  <c r="D186"/>
  <c r="D168"/>
  <c r="D187"/>
  <c r="D169"/>
  <c r="D207"/>
  <c r="D170"/>
  <c r="D188"/>
  <c r="D171"/>
  <c r="D189"/>
  <c r="D172"/>
  <c r="D190"/>
  <c r="D173"/>
  <c r="D191"/>
  <c r="D174"/>
  <c r="D192"/>
  <c r="D175"/>
  <c r="J25" l="1"/>
  <c r="J26"/>
  <c r="J27"/>
  <c r="J28"/>
  <c r="J29"/>
  <c r="J30"/>
  <c r="J31"/>
  <c r="J32"/>
  <c r="J33"/>
  <c r="J34"/>
  <c r="J35"/>
  <c r="J36"/>
  <c r="J37"/>
  <c r="J38"/>
  <c r="J39"/>
  <c r="J40"/>
  <c r="J41"/>
  <c r="J42"/>
  <c r="J43"/>
  <c r="J44"/>
  <c r="J45"/>
  <c r="J46"/>
  <c r="J47"/>
  <c r="G196"/>
  <c r="G197"/>
  <c r="G202"/>
  <c r="G201"/>
  <c r="H203"/>
  <c r="H201"/>
  <c r="H202"/>
  <c r="I198"/>
  <c r="I196"/>
  <c r="I201"/>
  <c r="G262"/>
  <c r="G280"/>
  <c r="G270"/>
  <c r="G268"/>
  <c r="G284"/>
  <c r="G269"/>
  <c r="G285"/>
  <c r="G282"/>
  <c r="H269"/>
  <c r="H285"/>
  <c r="H270"/>
  <c r="H286"/>
  <c r="H271"/>
  <c r="H287"/>
  <c r="H272"/>
  <c r="H292"/>
  <c r="G220"/>
  <c r="G234"/>
  <c r="H153"/>
  <c r="G279"/>
  <c r="H290"/>
  <c r="H220"/>
  <c r="I261"/>
  <c r="G193"/>
  <c r="G198"/>
  <c r="G203"/>
  <c r="H200"/>
  <c r="H197"/>
  <c r="H198"/>
  <c r="I194"/>
  <c r="I195"/>
  <c r="I197"/>
  <c r="G261"/>
  <c r="G276"/>
  <c r="G291"/>
  <c r="G263"/>
  <c r="G281"/>
  <c r="G264"/>
  <c r="G274"/>
  <c r="G275"/>
  <c r="H264"/>
  <c r="H274"/>
  <c r="H265"/>
  <c r="H282"/>
  <c r="H266"/>
  <c r="H283"/>
  <c r="H268"/>
  <c r="H284"/>
  <c r="I221"/>
  <c r="G139"/>
  <c r="I153"/>
  <c r="I142"/>
  <c r="G288"/>
  <c r="H289"/>
  <c r="H277"/>
  <c r="G153"/>
  <c r="H267"/>
  <c r="G204"/>
  <c r="G194"/>
  <c r="G199"/>
  <c r="H199"/>
  <c r="H193"/>
  <c r="H194"/>
  <c r="I193"/>
  <c r="I203"/>
  <c r="I204"/>
  <c r="I199"/>
  <c r="G271"/>
  <c r="G287"/>
  <c r="G286"/>
  <c r="G277"/>
  <c r="G292"/>
  <c r="G278"/>
  <c r="G265"/>
  <c r="H261"/>
  <c r="H278"/>
  <c r="H288"/>
  <c r="H279"/>
  <c r="H262"/>
  <c r="H280"/>
  <c r="H263"/>
  <c r="H281"/>
  <c r="H221"/>
  <c r="I220"/>
  <c r="I234"/>
  <c r="I157"/>
  <c r="H275"/>
  <c r="H234"/>
  <c r="G267"/>
  <c r="G200"/>
  <c r="G205"/>
  <c r="G195"/>
  <c r="H195"/>
  <c r="H196"/>
  <c r="H205"/>
  <c r="H204"/>
  <c r="I202"/>
  <c r="I200"/>
  <c r="I205"/>
  <c r="G266"/>
  <c r="G283"/>
  <c r="G272"/>
  <c r="G273"/>
  <c r="G289"/>
  <c r="G290"/>
  <c r="H273"/>
  <c r="H276"/>
  <c r="H291"/>
  <c r="G221"/>
  <c r="H104" i="10" l="1"/>
  <c r="G104"/>
  <c r="G101" i="16" l="1"/>
  <c r="D101"/>
  <c r="J101"/>
  <c r="D93"/>
  <c r="L83" i="19"/>
  <c r="I83"/>
  <c r="F83"/>
  <c r="E110" i="13"/>
  <c r="J110"/>
  <c r="J142" l="1"/>
  <c r="D99" i="16"/>
  <c r="D30"/>
  <c r="E69" i="13"/>
  <c r="E70"/>
  <c r="E71"/>
  <c r="E72"/>
  <c r="E73"/>
  <c r="E74"/>
  <c r="E75"/>
  <c r="E76"/>
  <c r="E77"/>
  <c r="E79"/>
  <c r="E78"/>
  <c r="E80"/>
  <c r="E81"/>
  <c r="E82"/>
  <c r="E83"/>
  <c r="E84"/>
  <c r="E85"/>
  <c r="E86"/>
  <c r="E87"/>
  <c r="E88"/>
  <c r="E89"/>
  <c r="E90"/>
  <c r="E91"/>
  <c r="E92"/>
  <c r="E93"/>
  <c r="E94"/>
  <c r="E95"/>
  <c r="E96"/>
  <c r="E97"/>
  <c r="E98"/>
  <c r="E99"/>
  <c r="E100"/>
  <c r="E101"/>
  <c r="E102"/>
  <c r="E103"/>
  <c r="E104"/>
  <c r="E105"/>
  <c r="E106"/>
  <c r="E107"/>
  <c r="E108"/>
  <c r="E109"/>
  <c r="E111"/>
  <c r="E112"/>
  <c r="E113"/>
  <c r="E114"/>
  <c r="E115"/>
  <c r="F98" i="10" l="1"/>
  <c r="V4" i="13"/>
  <c r="F46" i="10"/>
  <c r="F42"/>
  <c r="F41"/>
  <c r="F36"/>
  <c r="H34"/>
  <c r="G34"/>
  <c r="F34"/>
  <c r="H30"/>
  <c r="G30"/>
  <c r="F30"/>
  <c r="H28"/>
  <c r="G28"/>
  <c r="F28"/>
  <c r="H27"/>
  <c r="G27"/>
  <c r="F27"/>
  <c r="H26"/>
  <c r="G26"/>
  <c r="F26"/>
  <c r="H25"/>
  <c r="G25"/>
  <c r="F25"/>
  <c r="H22"/>
  <c r="G22"/>
  <c r="F22"/>
  <c r="G20"/>
  <c r="H20"/>
  <c r="F20"/>
  <c r="F15"/>
  <c r="G15"/>
  <c r="H15"/>
  <c r="F16"/>
  <c r="G16"/>
  <c r="H16"/>
  <c r="F17"/>
  <c r="G17"/>
  <c r="H17"/>
  <c r="F18"/>
  <c r="G18"/>
  <c r="H18"/>
  <c r="H14"/>
  <c r="H11"/>
  <c r="G14"/>
  <c r="G11"/>
  <c r="F14"/>
  <c r="F11"/>
  <c r="G69" i="13"/>
  <c r="I69"/>
  <c r="H110"/>
  <c r="H69"/>
  <c r="G110"/>
  <c r="I110"/>
  <c r="H19" i="10" l="1"/>
  <c r="L4" i="24"/>
  <c r="L5"/>
  <c r="L6"/>
  <c r="L7"/>
  <c r="L8"/>
  <c r="L9"/>
  <c r="L10"/>
  <c r="L11"/>
  <c r="L12"/>
  <c r="L13"/>
  <c r="L14"/>
  <c r="L15"/>
  <c r="L16"/>
  <c r="L3"/>
  <c r="G4"/>
  <c r="G5"/>
  <c r="G6"/>
  <c r="G7"/>
  <c r="G8"/>
  <c r="G9"/>
  <c r="G10"/>
  <c r="G11"/>
  <c r="G12"/>
  <c r="G13"/>
  <c r="G14"/>
  <c r="G15"/>
  <c r="G16"/>
  <c r="G3"/>
  <c r="B3"/>
  <c r="B4"/>
  <c r="B5"/>
  <c r="B6"/>
  <c r="B7"/>
  <c r="B8"/>
  <c r="B9"/>
  <c r="B10"/>
  <c r="B11"/>
  <c r="B12"/>
  <c r="B13"/>
  <c r="B14"/>
  <c r="B15"/>
  <c r="B16"/>
  <c r="J111" i="16"/>
  <c r="L122"/>
  <c r="G111"/>
  <c r="K122"/>
  <c r="D111"/>
  <c r="J122"/>
  <c r="J125" s="1"/>
  <c r="W23" i="13" l="1"/>
  <c r="X23"/>
  <c r="V23"/>
  <c r="D87" i="16"/>
  <c r="J93"/>
  <c r="J95"/>
  <c r="G93"/>
  <c r="G95"/>
  <c r="D95"/>
  <c r="J99"/>
  <c r="G99"/>
  <c r="D89"/>
  <c r="J89"/>
  <c r="J88"/>
  <c r="J87"/>
  <c r="G89"/>
  <c r="G88"/>
  <c r="G87"/>
  <c r="D88"/>
  <c r="J76"/>
  <c r="G76"/>
  <c r="D76"/>
  <c r="J77"/>
  <c r="G77"/>
  <c r="D77"/>
  <c r="D34"/>
  <c r="J35"/>
  <c r="J34"/>
  <c r="J33"/>
  <c r="J30"/>
  <c r="G35"/>
  <c r="G34"/>
  <c r="G33"/>
  <c r="G30"/>
  <c r="D35"/>
  <c r="D33"/>
  <c r="J38"/>
  <c r="J37"/>
  <c r="J36"/>
  <c r="G38"/>
  <c r="G37"/>
  <c r="G36"/>
  <c r="D36"/>
  <c r="D38"/>
  <c r="D37"/>
  <c r="J61"/>
  <c r="L65"/>
  <c r="K65"/>
  <c r="J65"/>
  <c r="L61"/>
  <c r="K61"/>
  <c r="G102" l="1"/>
  <c r="D102"/>
  <c r="J102"/>
  <c r="J78"/>
  <c r="D78"/>
  <c r="G78"/>
  <c r="J67"/>
  <c r="D32" s="1"/>
  <c r="J19"/>
  <c r="G19" s="1"/>
  <c r="L19"/>
  <c r="I19" s="1"/>
  <c r="K19"/>
  <c r="H19" s="1"/>
  <c r="G98" i="28" l="1"/>
  <c r="V2" i="13" l="1"/>
  <c r="X2" l="1"/>
  <c r="W2"/>
  <c r="W4" l="1"/>
  <c r="V3" l="1"/>
  <c r="W3"/>
  <c r="X3"/>
  <c r="X4"/>
  <c r="J261" l="1"/>
  <c r="J262"/>
  <c r="J263"/>
  <c r="J270"/>
  <c r="J264"/>
  <c r="J275"/>
  <c r="J276"/>
  <c r="J277"/>
  <c r="J265"/>
  <c r="J269"/>
  <c r="J278"/>
  <c r="J266"/>
  <c r="J279"/>
  <c r="J280"/>
  <c r="J290"/>
  <c r="J272"/>
  <c r="J291"/>
  <c r="J268"/>
  <c r="J273"/>
  <c r="J292"/>
  <c r="J281"/>
  <c r="J274"/>
  <c r="J282"/>
  <c r="J283"/>
  <c r="J284"/>
  <c r="J285"/>
  <c r="J286"/>
  <c r="J287"/>
  <c r="J288"/>
  <c r="J289"/>
  <c r="J271"/>
  <c r="J139"/>
  <c r="J140"/>
  <c r="J141"/>
  <c r="J146"/>
  <c r="J145"/>
  <c r="J143"/>
  <c r="J144"/>
  <c r="J147"/>
  <c r="J148"/>
  <c r="J149"/>
  <c r="J150"/>
  <c r="J151"/>
  <c r="J152"/>
  <c r="J157"/>
  <c r="J158"/>
  <c r="J154"/>
  <c r="J156"/>
  <c r="J223"/>
  <c r="J159"/>
  <c r="J180"/>
  <c r="J155"/>
  <c r="J217"/>
  <c r="J160"/>
  <c r="J161"/>
  <c r="J177"/>
  <c r="J210"/>
  <c r="J211"/>
  <c r="J212"/>
  <c r="J213"/>
  <c r="J214"/>
  <c r="J215"/>
  <c r="J218"/>
  <c r="J162"/>
  <c r="J163"/>
  <c r="J164"/>
  <c r="J178"/>
  <c r="J181"/>
  <c r="J182"/>
  <c r="J206"/>
  <c r="J208"/>
  <c r="J209"/>
  <c r="J216"/>
  <c r="J219"/>
  <c r="J165"/>
  <c r="J183"/>
  <c r="J166"/>
  <c r="J184"/>
  <c r="J176"/>
  <c r="J179"/>
  <c r="J185"/>
  <c r="J167"/>
  <c r="J186"/>
  <c r="J168"/>
  <c r="J187"/>
  <c r="J169"/>
  <c r="J207"/>
  <c r="J170"/>
  <c r="J188"/>
  <c r="J171"/>
  <c r="J189"/>
  <c r="J172"/>
  <c r="J190"/>
  <c r="J173"/>
  <c r="J191"/>
  <c r="J174"/>
  <c r="J192"/>
  <c r="J175"/>
  <c r="J222"/>
  <c r="J224"/>
  <c r="J225"/>
  <c r="J226"/>
  <c r="J227"/>
  <c r="J228"/>
  <c r="J229"/>
  <c r="J230"/>
  <c r="J231"/>
  <c r="J232"/>
  <c r="J233"/>
  <c r="J235"/>
  <c r="J236"/>
  <c r="J237"/>
  <c r="J238"/>
  <c r="J69"/>
  <c r="J70"/>
  <c r="J72"/>
  <c r="J73"/>
  <c r="J71"/>
  <c r="J74"/>
  <c r="J75"/>
  <c r="J76"/>
  <c r="J77"/>
  <c r="J79"/>
  <c r="J78"/>
  <c r="J80"/>
  <c r="J81"/>
  <c r="J82"/>
  <c r="J83"/>
  <c r="J85"/>
  <c r="J86"/>
  <c r="J87"/>
  <c r="J84"/>
  <c r="J88"/>
  <c r="J89"/>
  <c r="J90"/>
  <c r="J91"/>
  <c r="J92"/>
  <c r="J93"/>
  <c r="J94"/>
  <c r="J95"/>
  <c r="J96"/>
  <c r="J97"/>
  <c r="J98"/>
  <c r="J99"/>
  <c r="J100"/>
  <c r="J102"/>
  <c r="J101"/>
  <c r="J103"/>
  <c r="J104"/>
  <c r="J105"/>
  <c r="J106"/>
  <c r="J107"/>
  <c r="J108"/>
  <c r="J109"/>
  <c r="J111"/>
  <c r="J112"/>
  <c r="J113"/>
  <c r="J114"/>
  <c r="J115"/>
  <c r="F262"/>
  <c r="F263"/>
  <c r="F264"/>
  <c r="F265"/>
  <c r="F266"/>
  <c r="F268"/>
  <c r="F269"/>
  <c r="F270"/>
  <c r="F272"/>
  <c r="F273"/>
  <c r="F271"/>
  <c r="F275"/>
  <c r="F276"/>
  <c r="F277"/>
  <c r="F278"/>
  <c r="F279"/>
  <c r="F280"/>
  <c r="F281"/>
  <c r="F274"/>
  <c r="F282"/>
  <c r="F283"/>
  <c r="F284"/>
  <c r="F285"/>
  <c r="F286"/>
  <c r="F287"/>
  <c r="F288"/>
  <c r="F289"/>
  <c r="F290"/>
  <c r="F291"/>
  <c r="F292"/>
  <c r="N99" i="18" l="1"/>
  <c r="F99"/>
  <c r="I273" i="13"/>
  <c r="I289"/>
  <c r="I279"/>
  <c r="I262"/>
  <c r="I280"/>
  <c r="I263"/>
  <c r="I281"/>
  <c r="H72"/>
  <c r="G108"/>
  <c r="G92"/>
  <c r="G76"/>
  <c r="H105"/>
  <c r="H89"/>
  <c r="H71"/>
  <c r="I99"/>
  <c r="I83"/>
  <c r="G112"/>
  <c r="G95"/>
  <c r="G78"/>
  <c r="H108"/>
  <c r="H92"/>
  <c r="I106"/>
  <c r="I90"/>
  <c r="I74"/>
  <c r="G106"/>
  <c r="G90"/>
  <c r="G74"/>
  <c r="H103"/>
  <c r="I114"/>
  <c r="I97"/>
  <c r="I81"/>
  <c r="G93"/>
  <c r="G77"/>
  <c r="H90"/>
  <c r="I100"/>
  <c r="C67"/>
  <c r="H94"/>
  <c r="I269"/>
  <c r="I285"/>
  <c r="I275"/>
  <c r="I290"/>
  <c r="I276"/>
  <c r="I291"/>
  <c r="I277"/>
  <c r="I292"/>
  <c r="G113"/>
  <c r="G96"/>
  <c r="G80"/>
  <c r="H109"/>
  <c r="H93"/>
  <c r="H77"/>
  <c r="I103"/>
  <c r="I84"/>
  <c r="I72"/>
  <c r="G99"/>
  <c r="G83"/>
  <c r="H113"/>
  <c r="H96"/>
  <c r="H80"/>
  <c r="I111"/>
  <c r="I94"/>
  <c r="I79"/>
  <c r="G111"/>
  <c r="G94"/>
  <c r="G79"/>
  <c r="H107"/>
  <c r="H91"/>
  <c r="H75"/>
  <c r="I102"/>
  <c r="G114"/>
  <c r="G97"/>
  <c r="G81"/>
  <c r="H79"/>
  <c r="I88"/>
  <c r="I264"/>
  <c r="I274"/>
  <c r="I270"/>
  <c r="I286"/>
  <c r="I271"/>
  <c r="I287"/>
  <c r="I272"/>
  <c r="I288"/>
  <c r="I73"/>
  <c r="G100"/>
  <c r="G85"/>
  <c r="H114"/>
  <c r="H97"/>
  <c r="H81"/>
  <c r="I107"/>
  <c r="I91"/>
  <c r="I75"/>
  <c r="G103"/>
  <c r="G84"/>
  <c r="G72"/>
  <c r="H100"/>
  <c r="H85"/>
  <c r="I115"/>
  <c r="I98"/>
  <c r="I82"/>
  <c r="G115"/>
  <c r="G98"/>
  <c r="G82"/>
  <c r="H112"/>
  <c r="H95"/>
  <c r="H78"/>
  <c r="I105"/>
  <c r="I89"/>
  <c r="I71"/>
  <c r="G102"/>
  <c r="G86"/>
  <c r="H115"/>
  <c r="H98"/>
  <c r="H82"/>
  <c r="I108"/>
  <c r="I92"/>
  <c r="I76"/>
  <c r="A259"/>
  <c r="A67"/>
  <c r="I267"/>
  <c r="I278"/>
  <c r="I265"/>
  <c r="I282"/>
  <c r="I266"/>
  <c r="I283"/>
  <c r="I268"/>
  <c r="I284"/>
  <c r="H70"/>
  <c r="G104"/>
  <c r="G88"/>
  <c r="G73"/>
  <c r="H102"/>
  <c r="H86"/>
  <c r="I112"/>
  <c r="I95"/>
  <c r="I78"/>
  <c r="G107"/>
  <c r="G91"/>
  <c r="G75"/>
  <c r="H104"/>
  <c r="H88"/>
  <c r="H73"/>
  <c r="I101"/>
  <c r="I87"/>
  <c r="I70"/>
  <c r="G101"/>
  <c r="G87"/>
  <c r="G70"/>
  <c r="H99"/>
  <c r="H83"/>
  <c r="I109"/>
  <c r="I93"/>
  <c r="I77"/>
  <c r="G105"/>
  <c r="G89"/>
  <c r="G71"/>
  <c r="H101"/>
  <c r="H87"/>
  <c r="I113"/>
  <c r="I96"/>
  <c r="I80"/>
  <c r="B259"/>
  <c r="H76"/>
  <c r="H84"/>
  <c r="G109"/>
  <c r="H106"/>
  <c r="H74"/>
  <c r="I85"/>
  <c r="I86"/>
  <c r="H111"/>
  <c r="I104"/>
  <c r="C259"/>
  <c r="H142"/>
  <c r="H225"/>
  <c r="G142"/>
  <c r="I139"/>
  <c r="I156"/>
  <c r="I225"/>
  <c r="H169"/>
  <c r="H165"/>
  <c r="H218"/>
  <c r="H159"/>
  <c r="G232"/>
  <c r="G170"/>
  <c r="G163"/>
  <c r="I236"/>
  <c r="I226"/>
  <c r="I217"/>
  <c r="H187"/>
  <c r="H144"/>
  <c r="G207"/>
  <c r="G162"/>
  <c r="I174"/>
  <c r="I212"/>
  <c r="H191"/>
  <c r="H213"/>
  <c r="G192"/>
  <c r="G209"/>
  <c r="G148"/>
  <c r="I176"/>
  <c r="I158"/>
  <c r="H216"/>
  <c r="G174"/>
  <c r="G212"/>
  <c r="I185"/>
  <c r="B137"/>
  <c r="H236"/>
  <c r="H179"/>
  <c r="H226"/>
  <c r="H222"/>
  <c r="H217"/>
  <c r="G238"/>
  <c r="G189"/>
  <c r="G227"/>
  <c r="G181"/>
  <c r="G160"/>
  <c r="G141"/>
  <c r="I190"/>
  <c r="I228"/>
  <c r="I149"/>
  <c r="I210"/>
  <c r="I140"/>
  <c r="H188"/>
  <c r="H184"/>
  <c r="H164"/>
  <c r="H223"/>
  <c r="G237"/>
  <c r="G171"/>
  <c r="G229"/>
  <c r="G178"/>
  <c r="G161"/>
  <c r="I235"/>
  <c r="I187"/>
  <c r="I219"/>
  <c r="I144"/>
  <c r="I154"/>
  <c r="H224"/>
  <c r="H168"/>
  <c r="H176"/>
  <c r="H143"/>
  <c r="H157"/>
  <c r="G230"/>
  <c r="G169"/>
  <c r="G165"/>
  <c r="G218"/>
  <c r="G159"/>
  <c r="I232"/>
  <c r="I170"/>
  <c r="I166"/>
  <c r="I163"/>
  <c r="I155"/>
  <c r="H231"/>
  <c r="H207"/>
  <c r="H183"/>
  <c r="H162"/>
  <c r="H180"/>
  <c r="G225"/>
  <c r="G187"/>
  <c r="G219"/>
  <c r="G144"/>
  <c r="G156"/>
  <c r="I175"/>
  <c r="I186"/>
  <c r="I216"/>
  <c r="I150"/>
  <c r="G146"/>
  <c r="H190"/>
  <c r="H228"/>
  <c r="H149"/>
  <c r="H210"/>
  <c r="H140"/>
  <c r="G191"/>
  <c r="G152"/>
  <c r="G206"/>
  <c r="G213"/>
  <c r="G158"/>
  <c r="I192"/>
  <c r="I167"/>
  <c r="I209"/>
  <c r="I214"/>
  <c r="I148"/>
  <c r="H172"/>
  <c r="H151"/>
  <c r="H147"/>
  <c r="H177"/>
  <c r="H146"/>
  <c r="G173"/>
  <c r="G185"/>
  <c r="G182"/>
  <c r="G211"/>
  <c r="G145"/>
  <c r="I188"/>
  <c r="I184"/>
  <c r="I164"/>
  <c r="I223"/>
  <c r="H232"/>
  <c r="H170"/>
  <c r="H166"/>
  <c r="H163"/>
  <c r="H155"/>
  <c r="G236"/>
  <c r="G179"/>
  <c r="G226"/>
  <c r="G222"/>
  <c r="G217"/>
  <c r="I238"/>
  <c r="I189"/>
  <c r="I227"/>
  <c r="I181"/>
  <c r="I160"/>
  <c r="H237"/>
  <c r="H171"/>
  <c r="H229"/>
  <c r="H178"/>
  <c r="H161"/>
  <c r="G235"/>
  <c r="G188"/>
  <c r="G184"/>
  <c r="G164"/>
  <c r="G223"/>
  <c r="I231"/>
  <c r="I207"/>
  <c r="I183"/>
  <c r="I162"/>
  <c r="I180"/>
  <c r="A137"/>
  <c r="G166"/>
  <c r="H206"/>
  <c r="I168"/>
  <c r="H186"/>
  <c r="H150"/>
  <c r="G208"/>
  <c r="I173"/>
  <c r="I211"/>
  <c r="I215"/>
  <c r="H139"/>
  <c r="H192"/>
  <c r="H167"/>
  <c r="H209"/>
  <c r="H214"/>
  <c r="H148"/>
  <c r="G224"/>
  <c r="G168"/>
  <c r="G176"/>
  <c r="G143"/>
  <c r="G157"/>
  <c r="I230"/>
  <c r="I169"/>
  <c r="I165"/>
  <c r="I218"/>
  <c r="I159"/>
  <c r="H174"/>
  <c r="H233"/>
  <c r="H208"/>
  <c r="H212"/>
  <c r="H154"/>
  <c r="G175"/>
  <c r="G186"/>
  <c r="G216"/>
  <c r="G215"/>
  <c r="G150"/>
  <c r="I172"/>
  <c r="I151"/>
  <c r="I147"/>
  <c r="I177"/>
  <c r="H238"/>
  <c r="H189"/>
  <c r="H227"/>
  <c r="H181"/>
  <c r="H160"/>
  <c r="H141"/>
  <c r="G190"/>
  <c r="G228"/>
  <c r="G149"/>
  <c r="G210"/>
  <c r="G140"/>
  <c r="I191"/>
  <c r="I152"/>
  <c r="I206"/>
  <c r="I213"/>
  <c r="I141"/>
  <c r="H173"/>
  <c r="H185"/>
  <c r="H182"/>
  <c r="H211"/>
  <c r="H145"/>
  <c r="G172"/>
  <c r="G151"/>
  <c r="G147"/>
  <c r="G177"/>
  <c r="I237"/>
  <c r="I171"/>
  <c r="I229"/>
  <c r="I178"/>
  <c r="I161"/>
  <c r="C137"/>
  <c r="H230"/>
  <c r="G155"/>
  <c r="I179"/>
  <c r="I222"/>
  <c r="H235"/>
  <c r="H219"/>
  <c r="H156"/>
  <c r="G231"/>
  <c r="G183"/>
  <c r="G180"/>
  <c r="I233"/>
  <c r="I208"/>
  <c r="I146"/>
  <c r="H152"/>
  <c r="H158"/>
  <c r="G167"/>
  <c r="G214"/>
  <c r="I224"/>
  <c r="I143"/>
  <c r="H175"/>
  <c r="H215"/>
  <c r="G233"/>
  <c r="G154"/>
  <c r="I182"/>
  <c r="I145"/>
  <c r="A135" l="1"/>
  <c r="A64"/>
  <c r="A257"/>
  <c r="O46" i="20"/>
  <c r="N46" s="1"/>
  <c r="O45"/>
  <c r="N45" s="1"/>
  <c r="K46"/>
  <c r="J46" s="1"/>
  <c r="K45"/>
  <c r="J45" s="1"/>
  <c r="G45"/>
  <c r="F45" s="1"/>
  <c r="N68" i="18" l="1"/>
  <c r="J68"/>
  <c r="F68"/>
  <c r="O58"/>
  <c r="K58"/>
  <c r="G58"/>
  <c r="N48"/>
  <c r="N47"/>
  <c r="J48"/>
  <c r="J47"/>
  <c r="F48"/>
  <c r="F47"/>
  <c r="O35"/>
  <c r="O23" s="1"/>
  <c r="K35"/>
  <c r="K23" s="1"/>
  <c r="G23"/>
  <c r="O22"/>
  <c r="K22"/>
  <c r="G22"/>
  <c r="G26" l="1"/>
  <c r="D6" s="1"/>
  <c r="L23" i="24"/>
  <c r="G23"/>
  <c r="B23"/>
  <c r="B22"/>
  <c r="B20"/>
  <c r="B19"/>
  <c r="C23" i="21"/>
  <c r="Z181" i="28"/>
  <c r="Z180"/>
  <c r="O180"/>
  <c r="K180"/>
  <c r="I180" s="1"/>
  <c r="J180" s="1"/>
  <c r="G180"/>
  <c r="E180" s="1"/>
  <c r="F180" s="1"/>
  <c r="Z179"/>
  <c r="O179"/>
  <c r="M179" s="1"/>
  <c r="K179"/>
  <c r="I179" s="1"/>
  <c r="J179" s="1"/>
  <c r="G179"/>
  <c r="Z178"/>
  <c r="O178"/>
  <c r="K178"/>
  <c r="I178" s="1"/>
  <c r="J178" s="1"/>
  <c r="G178"/>
  <c r="E178" s="1"/>
  <c r="Z177"/>
  <c r="O177"/>
  <c r="M177" s="1"/>
  <c r="K177"/>
  <c r="I177" s="1"/>
  <c r="J177" s="1"/>
  <c r="G177"/>
  <c r="Z176"/>
  <c r="O176"/>
  <c r="K176"/>
  <c r="I176" s="1"/>
  <c r="J176" s="1"/>
  <c r="G176"/>
  <c r="Z175"/>
  <c r="O175"/>
  <c r="M175" s="1"/>
  <c r="K175"/>
  <c r="I175" s="1"/>
  <c r="J175" s="1"/>
  <c r="G175"/>
  <c r="Z174"/>
  <c r="O174"/>
  <c r="K174"/>
  <c r="I174" s="1"/>
  <c r="J174" s="1"/>
  <c r="G174"/>
  <c r="E174" s="1"/>
  <c r="Z173"/>
  <c r="O173"/>
  <c r="M173" s="1"/>
  <c r="K173"/>
  <c r="I173" s="1"/>
  <c r="J173" s="1"/>
  <c r="G173"/>
  <c r="Z172"/>
  <c r="Z171"/>
  <c r="Z169"/>
  <c r="Z168"/>
  <c r="Z167"/>
  <c r="Z166"/>
  <c r="Z165"/>
  <c r="Z164"/>
  <c r="O164"/>
  <c r="K164"/>
  <c r="G164"/>
  <c r="Z163"/>
  <c r="Z162"/>
  <c r="Z161"/>
  <c r="Z160"/>
  <c r="Z159"/>
  <c r="Z158"/>
  <c r="Z157"/>
  <c r="Z156"/>
  <c r="Z155"/>
  <c r="Z154"/>
  <c r="Z153"/>
  <c r="Z151"/>
  <c r="Z150"/>
  <c r="Z149"/>
  <c r="Z148"/>
  <c r="Z147"/>
  <c r="Z146"/>
  <c r="O146"/>
  <c r="O143" s="1"/>
  <c r="N143" s="1"/>
  <c r="K146"/>
  <c r="K143" s="1"/>
  <c r="J143" s="1"/>
  <c r="G146"/>
  <c r="G143" s="1"/>
  <c r="F143" s="1"/>
  <c r="Z145"/>
  <c r="Z144"/>
  <c r="Z143"/>
  <c r="Z142"/>
  <c r="Z141"/>
  <c r="Z139"/>
  <c r="Z138"/>
  <c r="Z137"/>
  <c r="Z136"/>
  <c r="Z135"/>
  <c r="Z134"/>
  <c r="M134"/>
  <c r="I134"/>
  <c r="E134"/>
  <c r="Z133"/>
  <c r="Z132"/>
  <c r="Z131"/>
  <c r="Z130"/>
  <c r="Z129"/>
  <c r="AC128"/>
  <c r="AB128"/>
  <c r="AA128"/>
  <c r="Z127"/>
  <c r="Z126"/>
  <c r="Z125"/>
  <c r="Z124"/>
  <c r="Z123"/>
  <c r="Z122"/>
  <c r="O122"/>
  <c r="K122"/>
  <c r="G122"/>
  <c r="Z121"/>
  <c r="Z120"/>
  <c r="Z119"/>
  <c r="Z118"/>
  <c r="Z117"/>
  <c r="Z116"/>
  <c r="Z115"/>
  <c r="Z114"/>
  <c r="Z113"/>
  <c r="Z112"/>
  <c r="Z111"/>
  <c r="Z110"/>
  <c r="Z109"/>
  <c r="Z108"/>
  <c r="Z107"/>
  <c r="Z106"/>
  <c r="Z105"/>
  <c r="Z103"/>
  <c r="Z102"/>
  <c r="Z101"/>
  <c r="Z100"/>
  <c r="Z99"/>
  <c r="Z98"/>
  <c r="O98"/>
  <c r="K98"/>
  <c r="Z97"/>
  <c r="Z96"/>
  <c r="Z95"/>
  <c r="Z94"/>
  <c r="Z93"/>
  <c r="Z92"/>
  <c r="Z91"/>
  <c r="Z90"/>
  <c r="Z89"/>
  <c r="Z88"/>
  <c r="Z87"/>
  <c r="Z86"/>
  <c r="Z85"/>
  <c r="Z84"/>
  <c r="Z83"/>
  <c r="Z82"/>
  <c r="Z81"/>
  <c r="Z80"/>
  <c r="Z79"/>
  <c r="Z78"/>
  <c r="Z77"/>
  <c r="Z76"/>
  <c r="Z75"/>
  <c r="Z74"/>
  <c r="Z73"/>
  <c r="Z72"/>
  <c r="Z71"/>
  <c r="Z70"/>
  <c r="Z69"/>
  <c r="Z68"/>
  <c r="Z67"/>
  <c r="Z66"/>
  <c r="Z65"/>
  <c r="Z64"/>
  <c r="Z63"/>
  <c r="Z62"/>
  <c r="Z61"/>
  <c r="Z60"/>
  <c r="Z59"/>
  <c r="Z58"/>
  <c r="Z57"/>
  <c r="Z56"/>
  <c r="Z54"/>
  <c r="Z53"/>
  <c r="Z52"/>
  <c r="Z51"/>
  <c r="Z50"/>
  <c r="Z49"/>
  <c r="O49"/>
  <c r="O48" s="1"/>
  <c r="K49"/>
  <c r="K48" s="1"/>
  <c r="G49"/>
  <c r="G48" s="1"/>
  <c r="Z48"/>
  <c r="Z47"/>
  <c r="Z46"/>
  <c r="Z45"/>
  <c r="Z44"/>
  <c r="Z42"/>
  <c r="Z41"/>
  <c r="Z40"/>
  <c r="Z39"/>
  <c r="Z38"/>
  <c r="Z37"/>
  <c r="O37"/>
  <c r="O34" s="1"/>
  <c r="K37"/>
  <c r="K34" s="1"/>
  <c r="G37"/>
  <c r="G33" s="1"/>
  <c r="Z36"/>
  <c r="Z35"/>
  <c r="F35"/>
  <c r="Z34"/>
  <c r="F34"/>
  <c r="Z33"/>
  <c r="F33"/>
  <c r="Z32"/>
  <c r="F32"/>
  <c r="Z31"/>
  <c r="Z30"/>
  <c r="Z28"/>
  <c r="Z27"/>
  <c r="Z26"/>
  <c r="Z25"/>
  <c r="Z24"/>
  <c r="Z23"/>
  <c r="O23"/>
  <c r="O22" s="1"/>
  <c r="M22" s="1"/>
  <c r="K23"/>
  <c r="K22" s="1"/>
  <c r="G23"/>
  <c r="G22" s="1"/>
  <c r="E22" s="1"/>
  <c r="F22" s="1"/>
  <c r="Z22"/>
  <c r="Z21"/>
  <c r="Z20"/>
  <c r="Z18"/>
  <c r="Z17"/>
  <c r="Z16"/>
  <c r="Z15"/>
  <c r="Z14"/>
  <c r="Z13"/>
  <c r="P13"/>
  <c r="L13"/>
  <c r="H13"/>
  <c r="Z12"/>
  <c r="Z11"/>
  <c r="P11"/>
  <c r="L11"/>
  <c r="H11"/>
  <c r="Z10"/>
  <c r="P10"/>
  <c r="L10"/>
  <c r="H10"/>
  <c r="Z9"/>
  <c r="P9"/>
  <c r="L9"/>
  <c r="H9"/>
  <c r="Z8"/>
  <c r="P8"/>
  <c r="L8"/>
  <c r="H8"/>
  <c r="Z7"/>
  <c r="Z6"/>
  <c r="AA186" i="27"/>
  <c r="AA185"/>
  <c r="O185"/>
  <c r="M185" s="1"/>
  <c r="K185"/>
  <c r="G185"/>
  <c r="E185" s="1"/>
  <c r="F185" s="1"/>
  <c r="AA184"/>
  <c r="O184"/>
  <c r="M184" s="1"/>
  <c r="N184" s="1"/>
  <c r="K184"/>
  <c r="I184" s="1"/>
  <c r="J184" s="1"/>
  <c r="G184"/>
  <c r="E184" s="1"/>
  <c r="AA183"/>
  <c r="O183"/>
  <c r="M183" s="1"/>
  <c r="K183"/>
  <c r="G183"/>
  <c r="E183" s="1"/>
  <c r="AA182"/>
  <c r="O182"/>
  <c r="M182" s="1"/>
  <c r="N182" s="1"/>
  <c r="K182"/>
  <c r="I182" s="1"/>
  <c r="J182" s="1"/>
  <c r="G182"/>
  <c r="E182" s="1"/>
  <c r="AA181"/>
  <c r="O181"/>
  <c r="M181" s="1"/>
  <c r="K181"/>
  <c r="I181" s="1"/>
  <c r="J181" s="1"/>
  <c r="G181"/>
  <c r="E181" s="1"/>
  <c r="F181" s="1"/>
  <c r="AA180"/>
  <c r="O180"/>
  <c r="K180"/>
  <c r="I180" s="1"/>
  <c r="G180"/>
  <c r="E180" s="1"/>
  <c r="AA179"/>
  <c r="O179"/>
  <c r="M179" s="1"/>
  <c r="K179"/>
  <c r="I179" s="1"/>
  <c r="J179" s="1"/>
  <c r="G179"/>
  <c r="AA178"/>
  <c r="O178"/>
  <c r="K178"/>
  <c r="I178" s="1"/>
  <c r="J178" s="1"/>
  <c r="G178"/>
  <c r="AA177"/>
  <c r="AA176"/>
  <c r="AA174"/>
  <c r="AA173"/>
  <c r="AA172"/>
  <c r="AA171"/>
  <c r="AA170"/>
  <c r="AA169"/>
  <c r="O169"/>
  <c r="O168" s="1"/>
  <c r="M168" s="1"/>
  <c r="N168" s="1"/>
  <c r="K169"/>
  <c r="K168" s="1"/>
  <c r="G169"/>
  <c r="AA168"/>
  <c r="AA167"/>
  <c r="AA166"/>
  <c r="AA165"/>
  <c r="AA164"/>
  <c r="AA163"/>
  <c r="AA162"/>
  <c r="AA161"/>
  <c r="AA160"/>
  <c r="AA159"/>
  <c r="AA158"/>
  <c r="AA157"/>
  <c r="AA155"/>
  <c r="AA154"/>
  <c r="AA153"/>
  <c r="AA152"/>
  <c r="AA151"/>
  <c r="AA150"/>
  <c r="O150"/>
  <c r="O147" s="1"/>
  <c r="K150"/>
  <c r="G150"/>
  <c r="AA149"/>
  <c r="AA148"/>
  <c r="AA147"/>
  <c r="AA146"/>
  <c r="AA145"/>
  <c r="AA143"/>
  <c r="AA142"/>
  <c r="AA141"/>
  <c r="AA140"/>
  <c r="AA139"/>
  <c r="AA138"/>
  <c r="M138"/>
  <c r="I138"/>
  <c r="E138"/>
  <c r="E135" s="1"/>
  <c r="AB132" s="1"/>
  <c r="AA137"/>
  <c r="AA136"/>
  <c r="AA135"/>
  <c r="AA134"/>
  <c r="AA133"/>
  <c r="AA131"/>
  <c r="AA130"/>
  <c r="AA129"/>
  <c r="AA128"/>
  <c r="AA127"/>
  <c r="AA126"/>
  <c r="O126"/>
  <c r="K126"/>
  <c r="G126"/>
  <c r="AA125"/>
  <c r="AA123"/>
  <c r="AA122"/>
  <c r="AA121"/>
  <c r="AA120"/>
  <c r="AA119"/>
  <c r="AA118"/>
  <c r="AA117"/>
  <c r="AA116"/>
  <c r="AA115"/>
  <c r="AA114"/>
  <c r="AA113"/>
  <c r="AA112"/>
  <c r="AA111"/>
  <c r="O111"/>
  <c r="N111" s="1"/>
  <c r="K111"/>
  <c r="J111" s="1"/>
  <c r="G111"/>
  <c r="F111" s="1"/>
  <c r="AA110"/>
  <c r="O110"/>
  <c r="K110"/>
  <c r="G110"/>
  <c r="AA109"/>
  <c r="O109"/>
  <c r="K109"/>
  <c r="G109"/>
  <c r="AA108"/>
  <c r="O108"/>
  <c r="N108" s="1"/>
  <c r="K108"/>
  <c r="J108" s="1"/>
  <c r="G108"/>
  <c r="F108" s="1"/>
  <c r="AA107"/>
  <c r="AA106"/>
  <c r="AA104"/>
  <c r="AA103"/>
  <c r="AA102"/>
  <c r="AA101"/>
  <c r="AA100"/>
  <c r="AA99"/>
  <c r="O99"/>
  <c r="K99"/>
  <c r="G99"/>
  <c r="AA98"/>
  <c r="AA96"/>
  <c r="AA95"/>
  <c r="AA94"/>
  <c r="AA93"/>
  <c r="AA92"/>
  <c r="AA91"/>
  <c r="AA90"/>
  <c r="AA89"/>
  <c r="AA88"/>
  <c r="AA87"/>
  <c r="AA86"/>
  <c r="AA85"/>
  <c r="AA84"/>
  <c r="AA83"/>
  <c r="AA82"/>
  <c r="AA81"/>
  <c r="AA80"/>
  <c r="AA79"/>
  <c r="AA78"/>
  <c r="AA77"/>
  <c r="AA76"/>
  <c r="AA75"/>
  <c r="AA74"/>
  <c r="AA73"/>
  <c r="AA72"/>
  <c r="AA71"/>
  <c r="AA70"/>
  <c r="AA69"/>
  <c r="AA68"/>
  <c r="AA67"/>
  <c r="AA66"/>
  <c r="AA65"/>
  <c r="O65"/>
  <c r="N65" s="1"/>
  <c r="K65"/>
  <c r="J65" s="1"/>
  <c r="G65"/>
  <c r="F65" s="1"/>
  <c r="AA64"/>
  <c r="O64"/>
  <c r="N64" s="1"/>
  <c r="K64"/>
  <c r="J64" s="1"/>
  <c r="G64"/>
  <c r="F64" s="1"/>
  <c r="AA63"/>
  <c r="O63"/>
  <c r="N63" s="1"/>
  <c r="K63"/>
  <c r="J63" s="1"/>
  <c r="G63"/>
  <c r="F63" s="1"/>
  <c r="AA62"/>
  <c r="O62"/>
  <c r="N62" s="1"/>
  <c r="K62"/>
  <c r="J62" s="1"/>
  <c r="G62"/>
  <c r="F62" s="1"/>
  <c r="AA61"/>
  <c r="O61"/>
  <c r="N61" s="1"/>
  <c r="K61"/>
  <c r="J61" s="1"/>
  <c r="AA60"/>
  <c r="O60"/>
  <c r="N60" s="1"/>
  <c r="K60"/>
  <c r="J60" s="1"/>
  <c r="G60"/>
  <c r="F60" s="1"/>
  <c r="AA59"/>
  <c r="O59"/>
  <c r="N59" s="1"/>
  <c r="K59"/>
  <c r="J59" s="1"/>
  <c r="G59"/>
  <c r="F59" s="1"/>
  <c r="AA58"/>
  <c r="O58"/>
  <c r="N58" s="1"/>
  <c r="K58"/>
  <c r="J58" s="1"/>
  <c r="G58"/>
  <c r="F58" s="1"/>
  <c r="AA57"/>
  <c r="AA56"/>
  <c r="AA54"/>
  <c r="AA53"/>
  <c r="AA52"/>
  <c r="AA51"/>
  <c r="AA50"/>
  <c r="AA49"/>
  <c r="O49"/>
  <c r="K49"/>
  <c r="G49"/>
  <c r="AA48"/>
  <c r="AA47"/>
  <c r="O47"/>
  <c r="N47" s="1"/>
  <c r="K47"/>
  <c r="J47" s="1"/>
  <c r="G47"/>
  <c r="F47" s="1"/>
  <c r="AA46"/>
  <c r="O46"/>
  <c r="N46" s="1"/>
  <c r="K46"/>
  <c r="J46" s="1"/>
  <c r="G46"/>
  <c r="F46" s="1"/>
  <c r="AA45"/>
  <c r="AA44"/>
  <c r="AA42"/>
  <c r="AA41"/>
  <c r="AA40"/>
  <c r="AA39"/>
  <c r="AA38"/>
  <c r="AA37"/>
  <c r="AA36"/>
  <c r="AA35"/>
  <c r="O35"/>
  <c r="K35"/>
  <c r="G35"/>
  <c r="F35"/>
  <c r="AA34"/>
  <c r="O34"/>
  <c r="K34"/>
  <c r="G34"/>
  <c r="F34"/>
  <c r="AA33"/>
  <c r="O33"/>
  <c r="K33"/>
  <c r="G33"/>
  <c r="F33"/>
  <c r="AA32"/>
  <c r="O32"/>
  <c r="K32"/>
  <c r="G32"/>
  <c r="E32" s="1"/>
  <c r="F32"/>
  <c r="AA31"/>
  <c r="AA30"/>
  <c r="AA28"/>
  <c r="AA27"/>
  <c r="AA26"/>
  <c r="AA25"/>
  <c r="AA24"/>
  <c r="AA23"/>
  <c r="O23"/>
  <c r="O22" s="1"/>
  <c r="M22" s="1"/>
  <c r="N22" s="1"/>
  <c r="K23"/>
  <c r="K22" s="1"/>
  <c r="G23"/>
  <c r="G22" s="1"/>
  <c r="AA22"/>
  <c r="AA21"/>
  <c r="AA20"/>
  <c r="AA18"/>
  <c r="AA17"/>
  <c r="AA16"/>
  <c r="AA15"/>
  <c r="AA14"/>
  <c r="AA13"/>
  <c r="P13"/>
  <c r="L13"/>
  <c r="H13"/>
  <c r="AA12"/>
  <c r="AA11"/>
  <c r="AA10"/>
  <c r="AA9"/>
  <c r="AA8"/>
  <c r="O8"/>
  <c r="N8" s="1"/>
  <c r="M8"/>
  <c r="K8"/>
  <c r="J8" s="1"/>
  <c r="I8"/>
  <c r="G8"/>
  <c r="F8" s="1"/>
  <c r="E8"/>
  <c r="AA7"/>
  <c r="AA6"/>
  <c r="Z191" i="20"/>
  <c r="Z190"/>
  <c r="Z189"/>
  <c r="Z188"/>
  <c r="Z187"/>
  <c r="Z186"/>
  <c r="Z185"/>
  <c r="Z184"/>
  <c r="Z183"/>
  <c r="Z182"/>
  <c r="Z181"/>
  <c r="Z180"/>
  <c r="O180"/>
  <c r="M180" s="1"/>
  <c r="K180"/>
  <c r="G180"/>
  <c r="E180" s="1"/>
  <c r="Z179"/>
  <c r="O179"/>
  <c r="M179" s="1"/>
  <c r="K179"/>
  <c r="G179"/>
  <c r="E179" s="1"/>
  <c r="Z178"/>
  <c r="O178"/>
  <c r="M178" s="1"/>
  <c r="K178"/>
  <c r="G178"/>
  <c r="E178" s="1"/>
  <c r="Z177"/>
  <c r="O177"/>
  <c r="M177" s="1"/>
  <c r="K177"/>
  <c r="I177" s="1"/>
  <c r="J177" s="1"/>
  <c r="G177"/>
  <c r="E177" s="1"/>
  <c r="Z176"/>
  <c r="O176"/>
  <c r="M176" s="1"/>
  <c r="K176"/>
  <c r="G176"/>
  <c r="E176" s="1"/>
  <c r="Z175"/>
  <c r="O175"/>
  <c r="M175" s="1"/>
  <c r="K175"/>
  <c r="I175" s="1"/>
  <c r="J175" s="1"/>
  <c r="G175"/>
  <c r="E175" s="1"/>
  <c r="Z174"/>
  <c r="O174"/>
  <c r="M174" s="1"/>
  <c r="K174"/>
  <c r="G174"/>
  <c r="E174" s="1"/>
  <c r="Z173"/>
  <c r="O173"/>
  <c r="M173" s="1"/>
  <c r="K173"/>
  <c r="E173"/>
  <c r="F173" s="1"/>
  <c r="Z172"/>
  <c r="Z171"/>
  <c r="Z169"/>
  <c r="Z168"/>
  <c r="Z167"/>
  <c r="Z166"/>
  <c r="Z165"/>
  <c r="Z164"/>
  <c r="O164"/>
  <c r="K164"/>
  <c r="G164"/>
  <c r="Z163"/>
  <c r="Z162"/>
  <c r="Z161"/>
  <c r="Z160"/>
  <c r="Z159"/>
  <c r="Z158"/>
  <c r="Z157"/>
  <c r="Z156"/>
  <c r="Z155"/>
  <c r="Z154"/>
  <c r="Z153"/>
  <c r="Z151"/>
  <c r="Z150"/>
  <c r="Z149"/>
  <c r="Z148"/>
  <c r="Z147"/>
  <c r="Z146"/>
  <c r="O146"/>
  <c r="O143" s="1"/>
  <c r="AC140" s="1"/>
  <c r="K146"/>
  <c r="K143" s="1"/>
  <c r="AB140" s="1"/>
  <c r="G146"/>
  <c r="Z145"/>
  <c r="Z144"/>
  <c r="Z143"/>
  <c r="Z142"/>
  <c r="Z141"/>
  <c r="Z139"/>
  <c r="Z138"/>
  <c r="Z137"/>
  <c r="Z136"/>
  <c r="Z135"/>
  <c r="Z134"/>
  <c r="M134"/>
  <c r="M131" s="1"/>
  <c r="AC129" s="1"/>
  <c r="I134"/>
  <c r="I131" s="1"/>
  <c r="AB129" s="1"/>
  <c r="E134"/>
  <c r="E131" s="1"/>
  <c r="AA129" s="1"/>
  <c r="Z133"/>
  <c r="Z132"/>
  <c r="Z131"/>
  <c r="Z130"/>
  <c r="Z128"/>
  <c r="Z127"/>
  <c r="Z126"/>
  <c r="Z125"/>
  <c r="Z124"/>
  <c r="Z123"/>
  <c r="Z122"/>
  <c r="Z121"/>
  <c r="Z119"/>
  <c r="Z118"/>
  <c r="Z117"/>
  <c r="Z116"/>
  <c r="Z115"/>
  <c r="Z114"/>
  <c r="Z113"/>
  <c r="Z112"/>
  <c r="Z111"/>
  <c r="Z110"/>
  <c r="Z109"/>
  <c r="Z108"/>
  <c r="I11" i="24"/>
  <c r="D11"/>
  <c r="Z107" i="20"/>
  <c r="Z106"/>
  <c r="Z105"/>
  <c r="Z104"/>
  <c r="Z102"/>
  <c r="Z101"/>
  <c r="Z100"/>
  <c r="Z99"/>
  <c r="Z98"/>
  <c r="Z97"/>
  <c r="O97"/>
  <c r="K97"/>
  <c r="G97"/>
  <c r="Z96"/>
  <c r="Z95"/>
  <c r="Z94"/>
  <c r="Z93"/>
  <c r="Z92"/>
  <c r="Z91"/>
  <c r="Z90"/>
  <c r="Z89"/>
  <c r="Z88"/>
  <c r="Z87"/>
  <c r="Z86"/>
  <c r="Z85"/>
  <c r="Z84"/>
  <c r="Z83"/>
  <c r="Z82"/>
  <c r="Z81"/>
  <c r="Z80"/>
  <c r="Z79"/>
  <c r="Z78"/>
  <c r="Z77"/>
  <c r="Z76"/>
  <c r="Z75"/>
  <c r="Z74"/>
  <c r="Z73"/>
  <c r="Z72"/>
  <c r="Z71"/>
  <c r="Z70"/>
  <c r="Z69"/>
  <c r="Z68"/>
  <c r="Z67"/>
  <c r="Z66"/>
  <c r="Z65"/>
  <c r="Z64"/>
  <c r="Z63"/>
  <c r="Z62"/>
  <c r="Z61"/>
  <c r="Z60"/>
  <c r="Z59"/>
  <c r="Z58"/>
  <c r="Z57"/>
  <c r="Z56"/>
  <c r="Z55"/>
  <c r="Z53"/>
  <c r="Z52"/>
  <c r="Z51"/>
  <c r="Z50"/>
  <c r="Z49"/>
  <c r="Z48"/>
  <c r="O48"/>
  <c r="K48"/>
  <c r="G48"/>
  <c r="Z47"/>
  <c r="Z46"/>
  <c r="Z45"/>
  <c r="Z44"/>
  <c r="Z43"/>
  <c r="Z41"/>
  <c r="Z40"/>
  <c r="Z39"/>
  <c r="Z38"/>
  <c r="Z37"/>
  <c r="Z36"/>
  <c r="Z35"/>
  <c r="O35"/>
  <c r="K35"/>
  <c r="J35"/>
  <c r="J35" i="28" s="1"/>
  <c r="E35" i="20"/>
  <c r="Z34"/>
  <c r="O34"/>
  <c r="K34"/>
  <c r="J34"/>
  <c r="E34"/>
  <c r="Z33"/>
  <c r="O33"/>
  <c r="N33"/>
  <c r="K33"/>
  <c r="J33"/>
  <c r="G33"/>
  <c r="E33" s="1"/>
  <c r="Z32"/>
  <c r="O32"/>
  <c r="K32"/>
  <c r="J32"/>
  <c r="E32"/>
  <c r="Z31"/>
  <c r="Z30"/>
  <c r="Z28"/>
  <c r="Z27"/>
  <c r="Z26"/>
  <c r="Z25"/>
  <c r="Z24"/>
  <c r="Z23"/>
  <c r="O23"/>
  <c r="O22" s="1"/>
  <c r="M22" s="1"/>
  <c r="K23"/>
  <c r="K22" s="1"/>
  <c r="G23"/>
  <c r="G22" s="1"/>
  <c r="Z22"/>
  <c r="Z21"/>
  <c r="Z20"/>
  <c r="Z18"/>
  <c r="Z17"/>
  <c r="Z16"/>
  <c r="Z15"/>
  <c r="Z14"/>
  <c r="Z13"/>
  <c r="P13"/>
  <c r="L13"/>
  <c r="H13"/>
  <c r="Z12"/>
  <c r="P12"/>
  <c r="L12"/>
  <c r="H12"/>
  <c r="Z11"/>
  <c r="P11"/>
  <c r="L11"/>
  <c r="H11"/>
  <c r="Z10"/>
  <c r="P10"/>
  <c r="Z9"/>
  <c r="P9"/>
  <c r="L9"/>
  <c r="Z8"/>
  <c r="Z7"/>
  <c r="Z6"/>
  <c r="Z131" i="19"/>
  <c r="Z130"/>
  <c r="J130"/>
  <c r="G130"/>
  <c r="D130"/>
  <c r="J129"/>
  <c r="G129"/>
  <c r="D129"/>
  <c r="J128"/>
  <c r="G128"/>
  <c r="D128"/>
  <c r="Z127"/>
  <c r="J127"/>
  <c r="G127"/>
  <c r="D127"/>
  <c r="Z126"/>
  <c r="Z125"/>
  <c r="Z123"/>
  <c r="Z122"/>
  <c r="Z121"/>
  <c r="Z120"/>
  <c r="Z119"/>
  <c r="L119"/>
  <c r="K119" s="1"/>
  <c r="I119"/>
  <c r="H119" s="1"/>
  <c r="F119"/>
  <c r="Z118"/>
  <c r="L118"/>
  <c r="I118"/>
  <c r="H118" s="1"/>
  <c r="F118"/>
  <c r="E118" s="1"/>
  <c r="D118" s="1"/>
  <c r="Z117"/>
  <c r="L117"/>
  <c r="K117" s="1"/>
  <c r="I117"/>
  <c r="H117" s="1"/>
  <c r="F117"/>
  <c r="Z116"/>
  <c r="L116"/>
  <c r="I116"/>
  <c r="F116"/>
  <c r="E116" s="1"/>
  <c r="D116" s="1"/>
  <c r="Z115"/>
  <c r="Z114"/>
  <c r="Z112"/>
  <c r="Z111"/>
  <c r="Z110"/>
  <c r="Z109"/>
  <c r="Z108"/>
  <c r="Z107"/>
  <c r="L107"/>
  <c r="N9" i="24" s="1"/>
  <c r="I107" i="19"/>
  <c r="I9" i="24" s="1"/>
  <c r="F107" i="19"/>
  <c r="D9" i="24" s="1"/>
  <c r="Z106" i="19"/>
  <c r="Z105"/>
  <c r="Z104"/>
  <c r="Z103"/>
  <c r="L103"/>
  <c r="AC100" s="1"/>
  <c r="I103"/>
  <c r="H103" s="1"/>
  <c r="F103"/>
  <c r="E103" s="1"/>
  <c r="Z102"/>
  <c r="Z101"/>
  <c r="Z99"/>
  <c r="Z98"/>
  <c r="Z97"/>
  <c r="Z96"/>
  <c r="Z95"/>
  <c r="Z94"/>
  <c r="K94"/>
  <c r="J94" s="1"/>
  <c r="I96"/>
  <c r="I15" i="24" s="1"/>
  <c r="E94" i="19"/>
  <c r="Z93"/>
  <c r="Z92"/>
  <c r="Z90"/>
  <c r="Z89"/>
  <c r="Z88"/>
  <c r="Z87"/>
  <c r="Z86"/>
  <c r="Z85"/>
  <c r="Z84"/>
  <c r="L84"/>
  <c r="J84" s="1"/>
  <c r="I84"/>
  <c r="G84" s="1"/>
  <c r="F84"/>
  <c r="D84" s="1"/>
  <c r="Z83"/>
  <c r="G83"/>
  <c r="Z82"/>
  <c r="Z81"/>
  <c r="Z79"/>
  <c r="Z78"/>
  <c r="Z77"/>
  <c r="Z76"/>
  <c r="Z75"/>
  <c r="Z74"/>
  <c r="Z73"/>
  <c r="Z72"/>
  <c r="Z71"/>
  <c r="Z70"/>
  <c r="Z69"/>
  <c r="Z68"/>
  <c r="Z67"/>
  <c r="L67"/>
  <c r="J67" s="1"/>
  <c r="I67"/>
  <c r="F67"/>
  <c r="D67" s="1"/>
  <c r="E67" s="1"/>
  <c r="Z66"/>
  <c r="L66"/>
  <c r="N8" i="24" s="1"/>
  <c r="I66" i="19"/>
  <c r="I8" i="24" s="1"/>
  <c r="F66" i="19"/>
  <c r="D8" i="24" s="1"/>
  <c r="Z65" i="19"/>
  <c r="L65"/>
  <c r="I65"/>
  <c r="F65"/>
  <c r="Z64"/>
  <c r="Z63"/>
  <c r="Z61"/>
  <c r="Z60"/>
  <c r="Z59"/>
  <c r="Z58"/>
  <c r="Z57"/>
  <c r="Z56"/>
  <c r="Z55"/>
  <c r="Z54"/>
  <c r="Z53"/>
  <c r="Z52"/>
  <c r="Z51"/>
  <c r="Z50"/>
  <c r="Z49"/>
  <c r="L49"/>
  <c r="I49"/>
  <c r="F49"/>
  <c r="Z48"/>
  <c r="Z47"/>
  <c r="Z45"/>
  <c r="Z44"/>
  <c r="Z43"/>
  <c r="Z42"/>
  <c r="Z41"/>
  <c r="Z40"/>
  <c r="Z39"/>
  <c r="Z38"/>
  <c r="L34"/>
  <c r="F34"/>
  <c r="Z37"/>
  <c r="Z36"/>
  <c r="Z35"/>
  <c r="Z34"/>
  <c r="Z33"/>
  <c r="Z32"/>
  <c r="Z31"/>
  <c r="Z30"/>
  <c r="Z29"/>
  <c r="Z28"/>
  <c r="Z27"/>
  <c r="Z26"/>
  <c r="Z25"/>
  <c r="Z23"/>
  <c r="Z22"/>
  <c r="Z21"/>
  <c r="Z20"/>
  <c r="Z19"/>
  <c r="Z18"/>
  <c r="Z17"/>
  <c r="Z16"/>
  <c r="Z15"/>
  <c r="Z14"/>
  <c r="Z13"/>
  <c r="Z12"/>
  <c r="Z11"/>
  <c r="Z10"/>
  <c r="Z9"/>
  <c r="L9"/>
  <c r="I9"/>
  <c r="F9"/>
  <c r="Z8"/>
  <c r="K8"/>
  <c r="K17" s="1"/>
  <c r="H8"/>
  <c r="H12" s="1"/>
  <c r="I12" s="1"/>
  <c r="E8"/>
  <c r="Z7"/>
  <c r="Z6"/>
  <c r="Z5"/>
  <c r="Z101" i="18"/>
  <c r="Z100"/>
  <c r="Z99"/>
  <c r="N5" i="24"/>
  <c r="I5"/>
  <c r="AA96" i="18"/>
  <c r="Z98"/>
  <c r="Z97"/>
  <c r="Z95"/>
  <c r="Z94"/>
  <c r="Z93"/>
  <c r="Z92"/>
  <c r="Z91"/>
  <c r="Z90"/>
  <c r="N90"/>
  <c r="L12" s="1"/>
  <c r="J90"/>
  <c r="H12" s="1"/>
  <c r="Z89"/>
  <c r="Z88"/>
  <c r="Z87"/>
  <c r="Z86"/>
  <c r="AC85"/>
  <c r="AB85"/>
  <c r="AA85"/>
  <c r="Z84"/>
  <c r="Z83"/>
  <c r="Z82"/>
  <c r="Z81"/>
  <c r="Z80"/>
  <c r="Z79"/>
  <c r="Z78"/>
  <c r="AC75"/>
  <c r="J79"/>
  <c r="H11" s="1"/>
  <c r="F79"/>
  <c r="D11" s="1"/>
  <c r="Z77"/>
  <c r="Z76"/>
  <c r="Z74"/>
  <c r="Z73"/>
  <c r="Z72"/>
  <c r="Z71"/>
  <c r="Z70"/>
  <c r="Z69"/>
  <c r="Z68"/>
  <c r="N69"/>
  <c r="L10" s="1"/>
  <c r="F69"/>
  <c r="D10" s="1"/>
  <c r="Z67"/>
  <c r="Z66"/>
  <c r="Z64"/>
  <c r="Z63"/>
  <c r="Z62"/>
  <c r="Z61"/>
  <c r="Z60"/>
  <c r="Z59"/>
  <c r="Z58"/>
  <c r="O59"/>
  <c r="L9" s="1"/>
  <c r="K59"/>
  <c r="H9" s="1"/>
  <c r="AA55"/>
  <c r="Z57"/>
  <c r="Z56"/>
  <c r="Z54"/>
  <c r="Z53"/>
  <c r="Z52"/>
  <c r="Z51"/>
  <c r="Z50"/>
  <c r="Z49"/>
  <c r="Z48"/>
  <c r="L48"/>
  <c r="H48"/>
  <c r="I48" s="1"/>
  <c r="D48"/>
  <c r="Z47"/>
  <c r="H47"/>
  <c r="F49"/>
  <c r="D8" s="1"/>
  <c r="Z46"/>
  <c r="Z45"/>
  <c r="Z43"/>
  <c r="Z42"/>
  <c r="Z41"/>
  <c r="Z40"/>
  <c r="Z39"/>
  <c r="Z38"/>
  <c r="Z37"/>
  <c r="Z36"/>
  <c r="Z35"/>
  <c r="AC32"/>
  <c r="G38"/>
  <c r="D7" s="1"/>
  <c r="Z34"/>
  <c r="Z33"/>
  <c r="Z31"/>
  <c r="Z30"/>
  <c r="Z29"/>
  <c r="Z28"/>
  <c r="Z27"/>
  <c r="Z26"/>
  <c r="Z25"/>
  <c r="Z24"/>
  <c r="Z23"/>
  <c r="Z22"/>
  <c r="E22"/>
  <c r="Z21"/>
  <c r="Z20"/>
  <c r="Z18"/>
  <c r="Z17"/>
  <c r="Z16"/>
  <c r="Z15"/>
  <c r="Z14"/>
  <c r="Z13"/>
  <c r="Z12"/>
  <c r="D12"/>
  <c r="Z11"/>
  <c r="Z10"/>
  <c r="Z9"/>
  <c r="Z8"/>
  <c r="Z7"/>
  <c r="Z6"/>
  <c r="Z5"/>
  <c r="Z57" i="17"/>
  <c r="I57"/>
  <c r="Z56"/>
  <c r="Z55"/>
  <c r="Z54"/>
  <c r="Z53"/>
  <c r="Z52"/>
  <c r="Z51"/>
  <c r="Z50"/>
  <c r="Z49"/>
  <c r="Z48"/>
  <c r="Z47"/>
  <c r="I47"/>
  <c r="Z46"/>
  <c r="Z45"/>
  <c r="Z44"/>
  <c r="Z43"/>
  <c r="Z42"/>
  <c r="Z41"/>
  <c r="Z40"/>
  <c r="Z39"/>
  <c r="Z38"/>
  <c r="J38"/>
  <c r="Z37"/>
  <c r="Z36"/>
  <c r="Z35"/>
  <c r="Z34"/>
  <c r="Z33"/>
  <c r="Z31"/>
  <c r="Z30"/>
  <c r="Z29"/>
  <c r="Z28"/>
  <c r="Z27"/>
  <c r="J27"/>
  <c r="Z26"/>
  <c r="Z25"/>
  <c r="Z24"/>
  <c r="Z23"/>
  <c r="Z22"/>
  <c r="Z20"/>
  <c r="Z19"/>
  <c r="Z18"/>
  <c r="Z17"/>
  <c r="Z16"/>
  <c r="J16"/>
  <c r="Z15"/>
  <c r="D15"/>
  <c r="D26" s="1"/>
  <c r="Z14"/>
  <c r="D14"/>
  <c r="D25" s="1"/>
  <c r="Z13"/>
  <c r="D13"/>
  <c r="D24" s="1"/>
  <c r="Z12"/>
  <c r="D12"/>
  <c r="D23" s="1"/>
  <c r="Z11"/>
  <c r="A2"/>
  <c r="AW135" i="16"/>
  <c r="L135"/>
  <c r="K135"/>
  <c r="G135"/>
  <c r="D135"/>
  <c r="AW134"/>
  <c r="J134"/>
  <c r="AZ131" s="1"/>
  <c r="AW133"/>
  <c r="AW132"/>
  <c r="AY131"/>
  <c r="AX131"/>
  <c r="AW130"/>
  <c r="AW129"/>
  <c r="AW128"/>
  <c r="AW127"/>
  <c r="AW126"/>
  <c r="AW125"/>
  <c r="AW124"/>
  <c r="L125"/>
  <c r="K125"/>
  <c r="AW123"/>
  <c r="AW122"/>
  <c r="AW121"/>
  <c r="AW120"/>
  <c r="AY119"/>
  <c r="AX119"/>
  <c r="AW118"/>
  <c r="AW117"/>
  <c r="AW116"/>
  <c r="AW115"/>
  <c r="AW114"/>
  <c r="AW113"/>
  <c r="AW112"/>
  <c r="AW111"/>
  <c r="J113"/>
  <c r="AY108"/>
  <c r="D113"/>
  <c r="AW110"/>
  <c r="AW109"/>
  <c r="AW107"/>
  <c r="AW106"/>
  <c r="AW105"/>
  <c r="AW104"/>
  <c r="AW103"/>
  <c r="AW102"/>
  <c r="AW99"/>
  <c r="AW98"/>
  <c r="AW97"/>
  <c r="AW96"/>
  <c r="AW95"/>
  <c r="AW94"/>
  <c r="AW93"/>
  <c r="AW92"/>
  <c r="AW91"/>
  <c r="AW90"/>
  <c r="AW89"/>
  <c r="AW88"/>
  <c r="AW87"/>
  <c r="AW86"/>
  <c r="AW84"/>
  <c r="AW83"/>
  <c r="AW82"/>
  <c r="AW81"/>
  <c r="AW80"/>
  <c r="AW79"/>
  <c r="AW78"/>
  <c r="AW77"/>
  <c r="AW76"/>
  <c r="BD73"/>
  <c r="AX73"/>
  <c r="AW75"/>
  <c r="AW74"/>
  <c r="BF73"/>
  <c r="BE73"/>
  <c r="BC73"/>
  <c r="BB73"/>
  <c r="BA73"/>
  <c r="AZ73"/>
  <c r="AY73"/>
  <c r="AW72"/>
  <c r="AW71"/>
  <c r="AW70"/>
  <c r="AW69"/>
  <c r="AW68"/>
  <c r="AW67"/>
  <c r="AW66"/>
  <c r="AW65"/>
  <c r="AW64"/>
  <c r="F64"/>
  <c r="E64"/>
  <c r="D64"/>
  <c r="AW63"/>
  <c r="F63"/>
  <c r="E63"/>
  <c r="D63"/>
  <c r="AW62"/>
  <c r="F62"/>
  <c r="E62"/>
  <c r="D62"/>
  <c r="AW61"/>
  <c r="L67"/>
  <c r="J32" s="1"/>
  <c r="K67"/>
  <c r="G32" s="1"/>
  <c r="AW60"/>
  <c r="AW59"/>
  <c r="BC58"/>
  <c r="BB58"/>
  <c r="BA58"/>
  <c r="AW57"/>
  <c r="AW56"/>
  <c r="AW55"/>
  <c r="AW54"/>
  <c r="AW53"/>
  <c r="AW52"/>
  <c r="L52"/>
  <c r="J31" s="1"/>
  <c r="K52"/>
  <c r="J52"/>
  <c r="D31" s="1"/>
  <c r="D39" s="1"/>
  <c r="AW51"/>
  <c r="AW50"/>
  <c r="AW49"/>
  <c r="AW48"/>
  <c r="AW47"/>
  <c r="AW46"/>
  <c r="BF45"/>
  <c r="BE45"/>
  <c r="BD45"/>
  <c r="BC45"/>
  <c r="BB45"/>
  <c r="BA45"/>
  <c r="AZ45"/>
  <c r="AY45"/>
  <c r="AX45"/>
  <c r="AW44"/>
  <c r="AW43"/>
  <c r="AW42"/>
  <c r="AW41"/>
  <c r="AW40"/>
  <c r="AW39"/>
  <c r="AW35"/>
  <c r="AW34"/>
  <c r="AW33"/>
  <c r="AW32"/>
  <c r="AW31"/>
  <c r="G31"/>
  <c r="AW30"/>
  <c r="AW29"/>
  <c r="AW28"/>
  <c r="AW26"/>
  <c r="AW25"/>
  <c r="AW24"/>
  <c r="AW23"/>
  <c r="AW22"/>
  <c r="AW21"/>
  <c r="AW20"/>
  <c r="AW19"/>
  <c r="L21"/>
  <c r="K21"/>
  <c r="AW18"/>
  <c r="AW17"/>
  <c r="AW16"/>
  <c r="AX15"/>
  <c r="A49" i="30"/>
  <c r="C46"/>
  <c r="A43"/>
  <c r="H10"/>
  <c r="G10"/>
  <c r="F10"/>
  <c r="A58" i="12"/>
  <c r="D48"/>
  <c r="H45"/>
  <c r="H130" i="10"/>
  <c r="G130"/>
  <c r="F130"/>
  <c r="F108"/>
  <c r="F107" s="1"/>
  <c r="H107"/>
  <c r="G107"/>
  <c r="H103"/>
  <c r="G103"/>
  <c r="F103"/>
  <c r="H99"/>
  <c r="G99"/>
  <c r="F99"/>
  <c r="H98"/>
  <c r="M11" i="24" s="1"/>
  <c r="G98" i="10"/>
  <c r="H11" i="24" s="1"/>
  <c r="C11"/>
  <c r="H97" i="10"/>
  <c r="M12" i="24" s="1"/>
  <c r="G97" i="10"/>
  <c r="H12" i="24" s="1"/>
  <c r="F97" i="10"/>
  <c r="C12" i="24" s="1"/>
  <c r="H95" i="10"/>
  <c r="H94" s="1"/>
  <c r="G95"/>
  <c r="G94" s="1"/>
  <c r="F95"/>
  <c r="F94" s="1"/>
  <c r="H93"/>
  <c r="G93"/>
  <c r="F93"/>
  <c r="H92"/>
  <c r="G92"/>
  <c r="F92"/>
  <c r="H91"/>
  <c r="G91"/>
  <c r="F91"/>
  <c r="H90"/>
  <c r="G90"/>
  <c r="F90"/>
  <c r="H89"/>
  <c r="G89"/>
  <c r="F89"/>
  <c r="H88"/>
  <c r="G88"/>
  <c r="F88"/>
  <c r="H87"/>
  <c r="G87"/>
  <c r="F87"/>
  <c r="H86"/>
  <c r="G86"/>
  <c r="F86"/>
  <c r="H85"/>
  <c r="G85"/>
  <c r="F85"/>
  <c r="H79"/>
  <c r="G79"/>
  <c r="H13" i="24" s="1"/>
  <c r="F79" i="10"/>
  <c r="C13" i="24" s="1"/>
  <c r="H71" i="10"/>
  <c r="G71"/>
  <c r="F71"/>
  <c r="H70"/>
  <c r="M16" i="24" s="1"/>
  <c r="G70" i="10"/>
  <c r="H16" i="24" s="1"/>
  <c r="F70" i="10"/>
  <c r="C16" i="24" s="1"/>
  <c r="H69" i="10"/>
  <c r="M15" i="24" s="1"/>
  <c r="G69" i="10"/>
  <c r="H15" i="24" s="1"/>
  <c r="F69" i="10"/>
  <c r="C15" i="24" s="1"/>
  <c r="H68" i="10"/>
  <c r="M14" i="24" s="1"/>
  <c r="G68" i="10"/>
  <c r="F68"/>
  <c r="C14" i="24" s="1"/>
  <c r="H65" i="10"/>
  <c r="M9" i="24" s="1"/>
  <c r="G65" i="10"/>
  <c r="H9" i="24" s="1"/>
  <c r="F65" i="10"/>
  <c r="C9" i="24" s="1"/>
  <c r="H63" i="10"/>
  <c r="M8" i="24" s="1"/>
  <c r="G63" i="10"/>
  <c r="H8" i="24" s="1"/>
  <c r="F63" i="10"/>
  <c r="C8" i="24" s="1"/>
  <c r="H62" i="10"/>
  <c r="G62"/>
  <c r="F62"/>
  <c r="H61"/>
  <c r="G61"/>
  <c r="F61"/>
  <c r="H60"/>
  <c r="G60"/>
  <c r="F60"/>
  <c r="H55"/>
  <c r="G55"/>
  <c r="F55"/>
  <c r="H48"/>
  <c r="M5" i="24" s="1"/>
  <c r="G48" i="10"/>
  <c r="H5" i="24" s="1"/>
  <c r="F48" i="10"/>
  <c r="C5" i="24" s="1"/>
  <c r="H47" i="10"/>
  <c r="G47"/>
  <c r="F47"/>
  <c r="H46"/>
  <c r="G46"/>
  <c r="H45"/>
  <c r="G45"/>
  <c r="F45"/>
  <c r="H44"/>
  <c r="G44"/>
  <c r="F44"/>
  <c r="H42"/>
  <c r="G42"/>
  <c r="H41"/>
  <c r="G41"/>
  <c r="F35"/>
  <c r="H35"/>
  <c r="G35"/>
  <c r="H31"/>
  <c r="G31"/>
  <c r="F31"/>
  <c r="H29"/>
  <c r="G29"/>
  <c r="F29"/>
  <c r="H10"/>
  <c r="G10"/>
  <c r="F10"/>
  <c r="F7"/>
  <c r="M14" i="13"/>
  <c r="L14"/>
  <c r="AC140" i="28" l="1"/>
  <c r="AB140"/>
  <c r="G125" i="27"/>
  <c r="F125" s="1"/>
  <c r="M109"/>
  <c r="N109" s="1"/>
  <c r="M110"/>
  <c r="N110" s="1"/>
  <c r="AC43" i="28"/>
  <c r="N48"/>
  <c r="AD144" i="27"/>
  <c r="N147"/>
  <c r="I110"/>
  <c r="J110" s="1"/>
  <c r="AA140" i="28"/>
  <c r="AB43"/>
  <c r="J48"/>
  <c r="G143" i="20"/>
  <c r="AA140" s="1"/>
  <c r="Z140" s="1"/>
  <c r="AA43" i="28"/>
  <c r="F48"/>
  <c r="E109" i="27"/>
  <c r="F109" s="1"/>
  <c r="E110"/>
  <c r="F110" s="1"/>
  <c r="N35" i="20"/>
  <c r="N35" i="28" s="1"/>
  <c r="I35" i="20"/>
  <c r="E35" i="27"/>
  <c r="I33" i="20"/>
  <c r="E33" i="28"/>
  <c r="K121" i="20"/>
  <c r="J121" s="1"/>
  <c r="G121"/>
  <c r="F121" s="1"/>
  <c r="E17" i="19"/>
  <c r="F17" s="1"/>
  <c r="E12"/>
  <c r="F12" s="1"/>
  <c r="Z85" i="18"/>
  <c r="J14" i="17"/>
  <c r="J13"/>
  <c r="J12"/>
  <c r="J15"/>
  <c r="M33" i="20"/>
  <c r="I34"/>
  <c r="E33" i="27"/>
  <c r="E34"/>
  <c r="L12"/>
  <c r="AC5" s="1"/>
  <c r="Z128" i="28"/>
  <c r="H12"/>
  <c r="AA5" s="1"/>
  <c r="K163" i="20"/>
  <c r="AB152" s="1"/>
  <c r="O96"/>
  <c r="N96" s="1"/>
  <c r="G96"/>
  <c r="F96" s="1"/>
  <c r="P8"/>
  <c r="N8" s="1"/>
  <c r="L8"/>
  <c r="AB5" s="1"/>
  <c r="AD105" i="27"/>
  <c r="K147"/>
  <c r="G147"/>
  <c r="P12"/>
  <c r="N12" s="1"/>
  <c r="O12" s="1"/>
  <c r="AW45" i="16"/>
  <c r="AW131"/>
  <c r="F43" i="10"/>
  <c r="C4" i="24" s="1"/>
  <c r="E4" s="1"/>
  <c r="J39" i="16"/>
  <c r="L18" i="24" s="1"/>
  <c r="G39" i="16"/>
  <c r="AC46" i="19"/>
  <c r="AA46"/>
  <c r="AB46"/>
  <c r="G97" i="28"/>
  <c r="O163"/>
  <c r="L32" i="19"/>
  <c r="L31" s="1"/>
  <c r="E61" i="16"/>
  <c r="AY58" s="1"/>
  <c r="G19" i="10"/>
  <c r="BE58" i="16"/>
  <c r="AX108"/>
  <c r="D6" i="24"/>
  <c r="F6" s="1"/>
  <c r="E23" i="18"/>
  <c r="E35"/>
  <c r="F35" s="1"/>
  <c r="I28" i="19"/>
  <c r="H28" s="1"/>
  <c r="H32" s="1"/>
  <c r="G34" i="28"/>
  <c r="E34" s="1"/>
  <c r="O47" i="20"/>
  <c r="G32" i="28"/>
  <c r="E32" s="1"/>
  <c r="BF58" i="16"/>
  <c r="F23" i="10"/>
  <c r="H40"/>
  <c r="M3" i="24" s="1"/>
  <c r="AZ108" i="16"/>
  <c r="H12" i="27"/>
  <c r="F12" s="1"/>
  <c r="G12" s="1"/>
  <c r="D36" i="17"/>
  <c r="AA75" i="18"/>
  <c r="D34" i="17"/>
  <c r="AB75" i="18"/>
  <c r="N3" i="24"/>
  <c r="AB19" i="18"/>
  <c r="AC96"/>
  <c r="I32" i="19"/>
  <c r="I34"/>
  <c r="I70"/>
  <c r="I7" i="24" s="1"/>
  <c r="K7" s="1"/>
  <c r="G66" i="19"/>
  <c r="H66" s="1"/>
  <c r="AC29" i="20"/>
  <c r="K47"/>
  <c r="AB170"/>
  <c r="J180" i="27"/>
  <c r="K163" i="28"/>
  <c r="H43" i="10"/>
  <c r="M4" i="24" s="1"/>
  <c r="O4" s="1"/>
  <c r="G131" i="19"/>
  <c r="I13" i="24" s="1"/>
  <c r="K13" s="1"/>
  <c r="L28" i="19"/>
  <c r="L27" s="1"/>
  <c r="O32" i="28"/>
  <c r="K33"/>
  <c r="D3" i="24"/>
  <c r="F28" i="19"/>
  <c r="E28" s="1"/>
  <c r="F32"/>
  <c r="F31" s="1"/>
  <c r="F70"/>
  <c r="D7" i="24" s="1"/>
  <c r="F7" s="1"/>
  <c r="AA80" i="19"/>
  <c r="G168" i="27"/>
  <c r="AB156" s="1"/>
  <c r="AA170" i="28"/>
  <c r="I22"/>
  <c r="J22" s="1"/>
  <c r="AB19"/>
  <c r="F83" i="10"/>
  <c r="F80" s="1"/>
  <c r="H7" i="12" s="1"/>
  <c r="AY27" i="16"/>
  <c r="AB44" i="18"/>
  <c r="L58"/>
  <c r="M58" s="1"/>
  <c r="H99"/>
  <c r="L120" i="19"/>
  <c r="N16" i="24" s="1"/>
  <c r="G98" i="27"/>
  <c r="E98" s="1"/>
  <c r="F98" s="1"/>
  <c r="AC105"/>
  <c r="F183"/>
  <c r="AA19" i="28"/>
  <c r="G163"/>
  <c r="C6" i="24"/>
  <c r="E6" s="1"/>
  <c r="J101" i="18"/>
  <c r="F176" i="20"/>
  <c r="F180"/>
  <c r="F178" i="28"/>
  <c r="J21" i="16"/>
  <c r="B18" i="24" s="1"/>
  <c r="AZ27" i="16"/>
  <c r="F13" i="10"/>
  <c r="G13"/>
  <c r="F19"/>
  <c r="G23"/>
  <c r="AZ15" i="16"/>
  <c r="D35" i="17"/>
  <c r="D37"/>
  <c r="AA32" i="18"/>
  <c r="N101"/>
  <c r="D65" i="19"/>
  <c r="E65" s="1"/>
  <c r="AC91"/>
  <c r="D94"/>
  <c r="F120"/>
  <c r="D16" i="24" s="1"/>
  <c r="F16" s="1"/>
  <c r="AA19" i="20"/>
  <c r="E22"/>
  <c r="F22" s="1"/>
  <c r="G47"/>
  <c r="K191"/>
  <c r="G186" i="27"/>
  <c r="O33" i="28"/>
  <c r="AB170"/>
  <c r="F174"/>
  <c r="H13" i="10"/>
  <c r="G40"/>
  <c r="H3" i="24" s="1"/>
  <c r="F40" i="10"/>
  <c r="C3" i="24" s="1"/>
  <c r="G43" i="10"/>
  <c r="H4" i="24" s="1"/>
  <c r="J4" s="1"/>
  <c r="F59" i="10"/>
  <c r="F58" s="1"/>
  <c r="H67"/>
  <c r="BD58" i="16"/>
  <c r="AZ85"/>
  <c r="F22" i="18"/>
  <c r="D47"/>
  <c r="E47" s="1"/>
  <c r="AC55"/>
  <c r="H17" i="19"/>
  <c r="I6" i="24"/>
  <c r="L85" i="19"/>
  <c r="N14" i="24" s="1"/>
  <c r="P14" s="1"/>
  <c r="F85" i="19"/>
  <c r="L96"/>
  <c r="N15" i="24" s="1"/>
  <c r="P15" s="1"/>
  <c r="D103" i="19"/>
  <c r="AA124"/>
  <c r="AC19" i="20"/>
  <c r="F174"/>
  <c r="F178"/>
  <c r="O37" i="27"/>
  <c r="G48"/>
  <c r="F48" s="1"/>
  <c r="O125"/>
  <c r="N125" s="1"/>
  <c r="AC175"/>
  <c r="E179"/>
  <c r="F179" s="1"/>
  <c r="K97" i="28"/>
  <c r="E176"/>
  <c r="F176" s="1"/>
  <c r="G78" i="10"/>
  <c r="O26" i="18"/>
  <c r="L6" s="1"/>
  <c r="L70" i="19"/>
  <c r="N7" i="24" s="1"/>
  <c r="AC113" i="19"/>
  <c r="O191" i="20"/>
  <c r="I174"/>
  <c r="J174" s="1"/>
  <c r="N175"/>
  <c r="I176"/>
  <c r="J176" s="1"/>
  <c r="N177"/>
  <c r="I178"/>
  <c r="J178" s="1"/>
  <c r="N179"/>
  <c r="I180"/>
  <c r="J180" s="1"/>
  <c r="K125" i="27"/>
  <c r="J125" s="1"/>
  <c r="N175" i="28"/>
  <c r="N179"/>
  <c r="H59" i="10"/>
  <c r="H58" s="1"/>
  <c r="H6" i="24"/>
  <c r="G59" i="10"/>
  <c r="G58" s="1"/>
  <c r="AC65" i="18"/>
  <c r="AC62" i="19"/>
  <c r="AC80"/>
  <c r="I120"/>
  <c r="I16" i="24" s="1"/>
  <c r="K16" s="1"/>
  <c r="G117" i="19"/>
  <c r="J117"/>
  <c r="G119"/>
  <c r="J119"/>
  <c r="AD19" i="27"/>
  <c r="AD29"/>
  <c r="O48"/>
  <c r="AD156"/>
  <c r="K186"/>
  <c r="L12" i="28"/>
  <c r="AB5" s="1"/>
  <c r="O97"/>
  <c r="K121"/>
  <c r="AC44" i="18"/>
  <c r="AB124" i="19"/>
  <c r="M6" i="24"/>
  <c r="O6" s="1"/>
  <c r="G83" i="10"/>
  <c r="G80" s="1"/>
  <c r="I7" i="12" s="1"/>
  <c r="H83" i="10"/>
  <c r="M10" i="24" s="1"/>
  <c r="M48" i="18"/>
  <c r="I85" i="19"/>
  <c r="I14" i="24" s="1"/>
  <c r="AC124" i="19"/>
  <c r="O163" i="20"/>
  <c r="N163" s="1"/>
  <c r="AC29" i="27"/>
  <c r="O98"/>
  <c r="AD55" s="1"/>
  <c r="P12" i="28"/>
  <c r="AC5" s="1"/>
  <c r="N173"/>
  <c r="N177"/>
  <c r="O11" i="24"/>
  <c r="E13"/>
  <c r="V30" i="13"/>
  <c r="F23" i="30"/>
  <c r="W30" i="13"/>
  <c r="E5" i="24"/>
  <c r="F9"/>
  <c r="E9"/>
  <c r="G23" i="30"/>
  <c r="L18" i="13"/>
  <c r="O15" i="24"/>
  <c r="F13" i="30"/>
  <c r="F12" s="1"/>
  <c r="H16"/>
  <c r="H15" s="1"/>
  <c r="M7" i="24"/>
  <c r="H14"/>
  <c r="G67" i="10"/>
  <c r="F8" i="24"/>
  <c r="E8"/>
  <c r="K9"/>
  <c r="J9"/>
  <c r="H23" i="30"/>
  <c r="M18" i="13"/>
  <c r="E12" i="24"/>
  <c r="J13"/>
  <c r="O14"/>
  <c r="E16"/>
  <c r="G13" i="30"/>
  <c r="G12" s="1"/>
  <c r="F67" i="10"/>
  <c r="K5" i="24"/>
  <c r="J5"/>
  <c r="P5"/>
  <c r="O5"/>
  <c r="K8"/>
  <c r="J8"/>
  <c r="P9"/>
  <c r="O9"/>
  <c r="F11"/>
  <c r="E11"/>
  <c r="J12"/>
  <c r="E15"/>
  <c r="J16"/>
  <c r="H13" i="30"/>
  <c r="H12" s="1"/>
  <c r="F16"/>
  <c r="F15" s="1"/>
  <c r="M13" i="24"/>
  <c r="O13" s="1"/>
  <c r="H78" i="10"/>
  <c r="X30" i="13"/>
  <c r="O8" i="24"/>
  <c r="P8"/>
  <c r="J11"/>
  <c r="K11"/>
  <c r="O12"/>
  <c r="E14"/>
  <c r="J15"/>
  <c r="K15"/>
  <c r="G16" i="30"/>
  <c r="G15" s="1"/>
  <c r="H23" i="10"/>
  <c r="H7" i="24"/>
  <c r="J7" s="1"/>
  <c r="AW73" i="16"/>
  <c r="D27" i="17"/>
  <c r="AZ119" i="16"/>
  <c r="AW119" s="1"/>
  <c r="J135"/>
  <c r="D16" i="17"/>
  <c r="D68" i="18" s="1"/>
  <c r="E68" s="1"/>
  <c r="I23"/>
  <c r="J23" s="1"/>
  <c r="I35"/>
  <c r="J35" s="1"/>
  <c r="O38"/>
  <c r="L7" s="1"/>
  <c r="M35"/>
  <c r="N35" s="1"/>
  <c r="I47"/>
  <c r="F78" i="10"/>
  <c r="D61" i="16"/>
  <c r="AX58" s="1"/>
  <c r="AY85"/>
  <c r="G113"/>
  <c r="I3" i="24"/>
  <c r="AA19" i="18"/>
  <c r="AB32"/>
  <c r="K38"/>
  <c r="H7" s="1"/>
  <c r="K14" i="19"/>
  <c r="L14" s="1"/>
  <c r="L17"/>
  <c r="K26" i="18"/>
  <c r="H6" s="1"/>
  <c r="I22"/>
  <c r="J22" s="1"/>
  <c r="N49"/>
  <c r="L8" s="1"/>
  <c r="L47"/>
  <c r="M47" s="1"/>
  <c r="J49"/>
  <c r="H8" s="1"/>
  <c r="C7" i="24"/>
  <c r="E7" s="1"/>
  <c r="F61" i="16"/>
  <c r="AZ58" s="1"/>
  <c r="M22" i="18"/>
  <c r="N22" s="1"/>
  <c r="AA44"/>
  <c r="E48"/>
  <c r="AB55"/>
  <c r="D58"/>
  <c r="E58" s="1"/>
  <c r="AA65"/>
  <c r="J69"/>
  <c r="H10" s="1"/>
  <c r="AB96"/>
  <c r="D99"/>
  <c r="L99"/>
  <c r="F101"/>
  <c r="D5" i="24" s="1"/>
  <c r="F5" s="1"/>
  <c r="N6"/>
  <c r="P6" s="1"/>
  <c r="AA62" i="19"/>
  <c r="G65"/>
  <c r="H65" s="1"/>
  <c r="G67"/>
  <c r="H67" s="1"/>
  <c r="K67"/>
  <c r="AB80"/>
  <c r="D83"/>
  <c r="J83"/>
  <c r="AA91"/>
  <c r="F96"/>
  <c r="D15" i="24" s="1"/>
  <c r="F15" s="1"/>
  <c r="AA100" i="19"/>
  <c r="G103"/>
  <c r="K103"/>
  <c r="J103" s="1"/>
  <c r="AA113"/>
  <c r="K116"/>
  <c r="J116" s="1"/>
  <c r="E117"/>
  <c r="D117" s="1"/>
  <c r="G118"/>
  <c r="K118"/>
  <c r="J118" s="1"/>
  <c r="E119"/>
  <c r="D119" s="1"/>
  <c r="D131"/>
  <c r="D13" i="24" s="1"/>
  <c r="I22" i="20"/>
  <c r="J22" s="1"/>
  <c r="N22"/>
  <c r="AA29"/>
  <c r="I12" i="24"/>
  <c r="K12" s="1"/>
  <c r="I32" i="20"/>
  <c r="Z129"/>
  <c r="AC19" i="27"/>
  <c r="I22"/>
  <c r="J22" s="1"/>
  <c r="AC156"/>
  <c r="AB65" i="18"/>
  <c r="AB62" i="19"/>
  <c r="J66"/>
  <c r="K66" s="1"/>
  <c r="AB91"/>
  <c r="H94"/>
  <c r="G94" s="1"/>
  <c r="AB100"/>
  <c r="AB113"/>
  <c r="H116"/>
  <c r="G116" s="1"/>
  <c r="AB19" i="20"/>
  <c r="AB29"/>
  <c r="N33" i="28"/>
  <c r="N33" i="27"/>
  <c r="M33" s="1"/>
  <c r="G59" i="18"/>
  <c r="D9" s="1"/>
  <c r="N79"/>
  <c r="L11" s="1"/>
  <c r="K12" i="19"/>
  <c r="L12" s="1"/>
  <c r="E14"/>
  <c r="F14" s="1"/>
  <c r="J131"/>
  <c r="N13" i="24" s="1"/>
  <c r="P13" s="1"/>
  <c r="D12"/>
  <c r="F12" s="1"/>
  <c r="G36" i="20"/>
  <c r="N12" i="24"/>
  <c r="P12" s="1"/>
  <c r="O36" i="20"/>
  <c r="J34" i="28"/>
  <c r="I34" s="1"/>
  <c r="J34" i="27"/>
  <c r="I34" s="1"/>
  <c r="N34" i="20"/>
  <c r="M34" s="1"/>
  <c r="N11" i="24"/>
  <c r="I168" i="27"/>
  <c r="J168" s="1"/>
  <c r="H58" i="18"/>
  <c r="I58" s="1"/>
  <c r="J65" i="19"/>
  <c r="K65" s="1"/>
  <c r="D66"/>
  <c r="E66" s="1"/>
  <c r="H8" i="20"/>
  <c r="J32" i="27"/>
  <c r="J32" i="28"/>
  <c r="N32" i="20"/>
  <c r="J33" i="28"/>
  <c r="J33" i="27"/>
  <c r="I33" s="1"/>
  <c r="K36" i="20"/>
  <c r="K96"/>
  <c r="J96" s="1"/>
  <c r="AC170"/>
  <c r="N174"/>
  <c r="F175"/>
  <c r="N176"/>
  <c r="F177"/>
  <c r="N178"/>
  <c r="F179"/>
  <c r="N180"/>
  <c r="G37" i="27"/>
  <c r="K48"/>
  <c r="K98"/>
  <c r="J98" s="1"/>
  <c r="AD175"/>
  <c r="N179"/>
  <c r="F180"/>
  <c r="N181"/>
  <c r="F182"/>
  <c r="I183"/>
  <c r="J183" s="1"/>
  <c r="N183"/>
  <c r="F184"/>
  <c r="I185"/>
  <c r="J185" s="1"/>
  <c r="N185"/>
  <c r="AC19" i="28"/>
  <c r="G191" i="20"/>
  <c r="AB19" i="27"/>
  <c r="J35"/>
  <c r="I35" s="1"/>
  <c r="K37"/>
  <c r="I109"/>
  <c r="J109" s="1"/>
  <c r="M178"/>
  <c r="N178" s="1"/>
  <c r="M180"/>
  <c r="N180" s="1"/>
  <c r="O186"/>
  <c r="N22" i="28"/>
  <c r="AA170" i="20"/>
  <c r="I173"/>
  <c r="J173" s="1"/>
  <c r="N173"/>
  <c r="I179"/>
  <c r="J179" s="1"/>
  <c r="E22" i="27"/>
  <c r="F22" s="1"/>
  <c r="AB29"/>
  <c r="I32"/>
  <c r="AB105"/>
  <c r="AB175"/>
  <c r="G121" i="28"/>
  <c r="E178" i="27"/>
  <c r="F178" s="1"/>
  <c r="O121" i="28"/>
  <c r="E173"/>
  <c r="F173" s="1"/>
  <c r="M174"/>
  <c r="N174" s="1"/>
  <c r="E175"/>
  <c r="F175" s="1"/>
  <c r="M176"/>
  <c r="N176" s="1"/>
  <c r="E177"/>
  <c r="F177" s="1"/>
  <c r="M178"/>
  <c r="N178" s="1"/>
  <c r="E179"/>
  <c r="F179" s="1"/>
  <c r="M180"/>
  <c r="N180" s="1"/>
  <c r="G181"/>
  <c r="K32"/>
  <c r="AC170"/>
  <c r="K181"/>
  <c r="O181"/>
  <c r="P181"/>
  <c r="L181"/>
  <c r="H181"/>
  <c r="P164"/>
  <c r="L164"/>
  <c r="H164"/>
  <c r="P186" i="27"/>
  <c r="L186"/>
  <c r="H186"/>
  <c r="P169"/>
  <c r="L169"/>
  <c r="H169"/>
  <c r="P146" i="28"/>
  <c r="L146"/>
  <c r="H146"/>
  <c r="P134"/>
  <c r="O134"/>
  <c r="N134"/>
  <c r="L134"/>
  <c r="K134"/>
  <c r="J134"/>
  <c r="H134"/>
  <c r="G134"/>
  <c r="F134"/>
  <c r="P122"/>
  <c r="L122"/>
  <c r="H122"/>
  <c r="P98"/>
  <c r="L98"/>
  <c r="H98"/>
  <c r="P49"/>
  <c r="L49"/>
  <c r="H49"/>
  <c r="P37"/>
  <c r="L37"/>
  <c r="H37"/>
  <c r="P23"/>
  <c r="L23"/>
  <c r="H23"/>
  <c r="P150" i="27"/>
  <c r="L150"/>
  <c r="H150"/>
  <c r="P138"/>
  <c r="O138"/>
  <c r="N138"/>
  <c r="L138"/>
  <c r="K138"/>
  <c r="J138"/>
  <c r="H138"/>
  <c r="G138"/>
  <c r="M135" s="1"/>
  <c r="AD132" s="1"/>
  <c r="F138"/>
  <c r="I135" s="1"/>
  <c r="AC132" s="1"/>
  <c r="P99"/>
  <c r="L99"/>
  <c r="P49"/>
  <c r="L49"/>
  <c r="H49"/>
  <c r="P23"/>
  <c r="L23"/>
  <c r="H23"/>
  <c r="P191" i="20"/>
  <c r="L191"/>
  <c r="H191"/>
  <c r="P164"/>
  <c r="L164"/>
  <c r="H164"/>
  <c r="P146"/>
  <c r="L146"/>
  <c r="H146"/>
  <c r="P134"/>
  <c r="O134"/>
  <c r="N134"/>
  <c r="L134"/>
  <c r="K134"/>
  <c r="J134"/>
  <c r="H134"/>
  <c r="G134"/>
  <c r="F134"/>
  <c r="P122"/>
  <c r="L122"/>
  <c r="H122"/>
  <c r="P97"/>
  <c r="L97"/>
  <c r="H97"/>
  <c r="P48"/>
  <c r="L48"/>
  <c r="H48"/>
  <c r="P36"/>
  <c r="L36"/>
  <c r="P23"/>
  <c r="L23"/>
  <c r="H23"/>
  <c r="H99" i="27"/>
  <c r="H36" i="20"/>
  <c r="H126" i="27"/>
  <c r="L126"/>
  <c r="P126"/>
  <c r="F11" i="19" l="1"/>
  <c r="F8" s="1"/>
  <c r="F7" s="1"/>
  <c r="AA4" s="1"/>
  <c r="Z140" i="28"/>
  <c r="Z43"/>
  <c r="AB152"/>
  <c r="J163"/>
  <c r="AC104"/>
  <c r="N121"/>
  <c r="AC55"/>
  <c r="N97"/>
  <c r="AD43" i="27"/>
  <c r="N48"/>
  <c r="AC152" i="28"/>
  <c r="N163"/>
  <c r="AC144" i="27"/>
  <c r="J147"/>
  <c r="AC42" i="20"/>
  <c r="N47"/>
  <c r="AB104" i="28"/>
  <c r="J121"/>
  <c r="AA104"/>
  <c r="F121"/>
  <c r="AC43" i="27"/>
  <c r="J48"/>
  <c r="AB55" i="28"/>
  <c r="J97"/>
  <c r="AA42" i="20"/>
  <c r="F47"/>
  <c r="AB42"/>
  <c r="J47"/>
  <c r="AA152" i="28"/>
  <c r="F163"/>
  <c r="AA55"/>
  <c r="F97"/>
  <c r="AB144" i="27"/>
  <c r="AA144" s="1"/>
  <c r="F147"/>
  <c r="J12"/>
  <c r="K12" s="1"/>
  <c r="N35"/>
  <c r="M35" s="1"/>
  <c r="M35" i="20"/>
  <c r="J8"/>
  <c r="E47" i="17"/>
  <c r="G47" s="1"/>
  <c r="E57"/>
  <c r="G57" s="1"/>
  <c r="E52"/>
  <c r="G52" s="1"/>
  <c r="M33" i="28"/>
  <c r="I33"/>
  <c r="J163" i="20"/>
  <c r="AC5"/>
  <c r="AA54"/>
  <c r="AC54"/>
  <c r="AD5" i="27"/>
  <c r="G18" i="24"/>
  <c r="F9" i="10"/>
  <c r="AQ10" i="16"/>
  <c r="AX27"/>
  <c r="AW27" s="1"/>
  <c r="AB5" i="27"/>
  <c r="D10" i="24"/>
  <c r="F10" s="1"/>
  <c r="D14"/>
  <c r="F14" s="1"/>
  <c r="Z46" i="19"/>
  <c r="E34"/>
  <c r="E32"/>
  <c r="E37"/>
  <c r="E3" i="24"/>
  <c r="AX85" i="16"/>
  <c r="AW85" s="1"/>
  <c r="O7" i="24"/>
  <c r="P16"/>
  <c r="Z19" i="20"/>
  <c r="E16" i="17"/>
  <c r="F16" s="1"/>
  <c r="H16" s="1"/>
  <c r="AY15" i="16"/>
  <c r="AW15" s="1"/>
  <c r="Z75" i="18"/>
  <c r="AQ5" i="16"/>
  <c r="AW108"/>
  <c r="Z96" i="18"/>
  <c r="P7" i="24"/>
  <c r="K3"/>
  <c r="O3"/>
  <c r="H34" i="19"/>
  <c r="Z32" i="18"/>
  <c r="AQ7" i="16"/>
  <c r="J6" i="24"/>
  <c r="L37" i="19"/>
  <c r="AC24" s="1"/>
  <c r="K28"/>
  <c r="K37" s="1"/>
  <c r="H37"/>
  <c r="F23" i="18"/>
  <c r="H39" i="10"/>
  <c r="P3" i="24"/>
  <c r="AB103" i="20"/>
  <c r="AA105" i="27"/>
  <c r="C10" i="24"/>
  <c r="E10" s="1"/>
  <c r="AB55" i="27"/>
  <c r="N98"/>
  <c r="G35" i="28"/>
  <c r="E35" s="1"/>
  <c r="F3" i="24"/>
  <c r="AA29" i="27"/>
  <c r="H10" i="24"/>
  <c r="J10" s="1"/>
  <c r="AB43" i="27"/>
  <c r="I27" i="19"/>
  <c r="AW58" i="16"/>
  <c r="AQ6"/>
  <c r="J14" i="24"/>
  <c r="K14"/>
  <c r="Z5" i="28"/>
  <c r="D38" i="17"/>
  <c r="L68" i="18" s="1"/>
  <c r="M68" s="1"/>
  <c r="K6" i="24"/>
  <c r="L11" i="19"/>
  <c r="L8" s="1"/>
  <c r="L7" s="1"/>
  <c r="AC4" s="1"/>
  <c r="Z62"/>
  <c r="G21" i="24"/>
  <c r="AA156" i="27"/>
  <c r="O35" i="28"/>
  <c r="AC29" s="1"/>
  <c r="I31" i="19"/>
  <c r="E168" i="27"/>
  <c r="F168" s="1"/>
  <c r="P11" i="24"/>
  <c r="Z55" i="18"/>
  <c r="AA103" i="20"/>
  <c r="AA175" i="27"/>
  <c r="AC152" i="20"/>
  <c r="J3" i="24"/>
  <c r="Z19" i="28"/>
  <c r="F27" i="19"/>
  <c r="F37" s="1"/>
  <c r="AA24" s="1"/>
  <c r="Z170" i="28"/>
  <c r="F39" i="10"/>
  <c r="F38" s="1"/>
  <c r="Z124" i="19"/>
  <c r="AA132" i="27"/>
  <c r="N10" i="24"/>
  <c r="P10" s="1"/>
  <c r="O16"/>
  <c r="G9" i="10"/>
  <c r="H14" i="19"/>
  <c r="I14" s="1"/>
  <c r="I11" s="1"/>
  <c r="I17"/>
  <c r="AA19" i="27"/>
  <c r="AB54" i="20"/>
  <c r="Z44" i="18"/>
  <c r="AC19"/>
  <c r="Z19" s="1"/>
  <c r="H80" i="10"/>
  <c r="J7" i="12" s="1"/>
  <c r="Z170" i="20"/>
  <c r="Z100" i="19"/>
  <c r="G39" i="10"/>
  <c r="G38" s="1"/>
  <c r="I10" i="24"/>
  <c r="K10" s="1"/>
  <c r="Z80" i="19"/>
  <c r="M23" i="18"/>
  <c r="N23" s="1"/>
  <c r="B21" i="24"/>
  <c r="F13"/>
  <c r="K35" i="28"/>
  <c r="I35" s="1"/>
  <c r="I32"/>
  <c r="Z29" i="20"/>
  <c r="Z91" i="19"/>
  <c r="H68" i="18"/>
  <c r="I68" s="1"/>
  <c r="E27" i="17"/>
  <c r="J25"/>
  <c r="E14"/>
  <c r="J36"/>
  <c r="H25" i="30"/>
  <c r="H29" s="1"/>
  <c r="H22"/>
  <c r="H11" s="1"/>
  <c r="N32" i="28"/>
  <c r="M32" s="1"/>
  <c r="N32" i="27"/>
  <c r="M32" s="1"/>
  <c r="F8" i="20"/>
  <c r="AA5"/>
  <c r="D13" i="18"/>
  <c r="D4" i="24" s="1"/>
  <c r="F4" s="1"/>
  <c r="AA4" i="18"/>
  <c r="F7" i="30"/>
  <c r="E15" i="17"/>
  <c r="I15" s="1"/>
  <c r="G7" i="30"/>
  <c r="O10" i="24"/>
  <c r="L21"/>
  <c r="F22" i="30"/>
  <c r="F11" s="1"/>
  <c r="F25"/>
  <c r="F27" s="1"/>
  <c r="Z113" i="19"/>
  <c r="Z65" i="18"/>
  <c r="H13"/>
  <c r="I4" i="24" s="1"/>
  <c r="K4" s="1"/>
  <c r="AB4" i="18"/>
  <c r="M32" i="20"/>
  <c r="AC4" i="18"/>
  <c r="L13"/>
  <c r="N4" i="24" s="1"/>
  <c r="P4" s="1"/>
  <c r="AA10" i="17"/>
  <c r="J23"/>
  <c r="E12"/>
  <c r="I12" s="1"/>
  <c r="J34"/>
  <c r="G22" i="30"/>
  <c r="G11" s="1"/>
  <c r="G25"/>
  <c r="G28" s="1"/>
  <c r="H9" i="10"/>
  <c r="N34" i="28"/>
  <c r="M34" s="1"/>
  <c r="N34" i="27"/>
  <c r="M34" s="1"/>
  <c r="AC55"/>
  <c r="J24" i="17"/>
  <c r="E13"/>
  <c r="I13" s="1"/>
  <c r="J35"/>
  <c r="Z55" i="28" l="1"/>
  <c r="Z152"/>
  <c r="Z42" i="20"/>
  <c r="AA43" i="27"/>
  <c r="Z104" i="28"/>
  <c r="Z54" i="20"/>
  <c r="AA5" i="27"/>
  <c r="F8" i="10"/>
  <c r="F131" s="1"/>
  <c r="G8"/>
  <c r="G131" s="1"/>
  <c r="B24" i="24"/>
  <c r="K3" i="13"/>
  <c r="K2"/>
  <c r="G16" i="17"/>
  <c r="AQ15" i="16"/>
  <c r="K34" i="19"/>
  <c r="K32"/>
  <c r="E38" i="17"/>
  <c r="G38" s="1"/>
  <c r="L24" i="24"/>
  <c r="M35" i="28"/>
  <c r="Q2" i="13" s="1"/>
  <c r="AQ13" i="16"/>
  <c r="AQ17" s="1"/>
  <c r="H38" i="10"/>
  <c r="H8" s="1"/>
  <c r="H131" s="1"/>
  <c r="AA55" i="27"/>
  <c r="AA29" i="28"/>
  <c r="H7" i="30"/>
  <c r="K7" s="1"/>
  <c r="I37" i="19"/>
  <c r="AB24" s="1"/>
  <c r="Z24" s="1"/>
  <c r="P2" i="13"/>
  <c r="Q7" i="12"/>
  <c r="I8" i="19"/>
  <c r="I7" s="1"/>
  <c r="AB4" s="1"/>
  <c r="Z4" s="1"/>
  <c r="J26" i="17"/>
  <c r="AA21" s="1"/>
  <c r="Z21" s="1"/>
  <c r="E23"/>
  <c r="P7" i="12"/>
  <c r="G13" i="17"/>
  <c r="F13"/>
  <c r="H13" s="1"/>
  <c r="E34"/>
  <c r="J37"/>
  <c r="AA32" s="1"/>
  <c r="Z32" s="1"/>
  <c r="Z10"/>
  <c r="J7" i="30"/>
  <c r="Z4" i="18"/>
  <c r="M3" i="13"/>
  <c r="E25" i="17"/>
  <c r="AB29" i="28"/>
  <c r="I7" i="30"/>
  <c r="F12" i="17"/>
  <c r="H12" s="1"/>
  <c r="O7" i="12"/>
  <c r="Z5" i="20"/>
  <c r="E36" i="17"/>
  <c r="G27"/>
  <c r="F27"/>
  <c r="H27" s="1"/>
  <c r="P3" i="13"/>
  <c r="E24" i="17"/>
  <c r="I24" s="1"/>
  <c r="G14"/>
  <c r="F14"/>
  <c r="H14" s="1"/>
  <c r="E35"/>
  <c r="I35" s="1"/>
  <c r="G15"/>
  <c r="F15"/>
  <c r="H15" s="1"/>
  <c r="M2" i="13"/>
  <c r="I14" i="17"/>
  <c r="I16" s="1"/>
  <c r="G24" i="24"/>
  <c r="AQ11" i="16"/>
  <c r="AQ16" s="1"/>
  <c r="F38" i="17" l="1"/>
  <c r="H38" s="1"/>
  <c r="N2" i="13"/>
  <c r="N3"/>
  <c r="G36" i="17"/>
  <c r="F36"/>
  <c r="H36" s="1"/>
  <c r="I36"/>
  <c r="Q3" i="13"/>
  <c r="Z29" i="28"/>
  <c r="L3" i="13"/>
  <c r="F34" i="17"/>
  <c r="H34" s="1"/>
  <c r="E26"/>
  <c r="G25"/>
  <c r="F25"/>
  <c r="H25" s="1"/>
  <c r="I34"/>
  <c r="F23"/>
  <c r="H23" s="1"/>
  <c r="G35"/>
  <c r="F35"/>
  <c r="H35" s="1"/>
  <c r="G24"/>
  <c r="F24"/>
  <c r="H24" s="1"/>
  <c r="G12"/>
  <c r="I25"/>
  <c r="I23"/>
  <c r="E37"/>
  <c r="G23" l="1"/>
  <c r="G34"/>
  <c r="G26"/>
  <c r="F26"/>
  <c r="H26" s="1"/>
  <c r="I26"/>
  <c r="I27" s="1"/>
  <c r="G37"/>
  <c r="F37"/>
  <c r="H37" s="1"/>
  <c r="I37"/>
  <c r="I38" s="1"/>
  <c r="L2" i="13" l="1"/>
  <c r="G163" i="20"/>
  <c r="AA152" s="1"/>
  <c r="F155"/>
  <c r="F161"/>
  <c r="Z152" l="1"/>
  <c r="F163"/>
  <c r="O121"/>
  <c r="N115"/>
  <c r="N111"/>
  <c r="N107"/>
  <c r="N114"/>
  <c r="N110"/>
  <c r="N117"/>
  <c r="N113"/>
  <c r="N109"/>
  <c r="N116"/>
  <c r="N112"/>
  <c r="N106"/>
  <c r="AC103" l="1"/>
  <c r="O3" i="13" s="1"/>
  <c r="N121" i="20"/>
  <c r="O2" i="13" s="1"/>
  <c r="Z103" i="20" l="1"/>
</calcChain>
</file>

<file path=xl/comments1.xml><?xml version="1.0" encoding="utf-8"?>
<comments xmlns="http://schemas.openxmlformats.org/spreadsheetml/2006/main">
  <authors>
    <author>Демин Д.В.</author>
  </authors>
  <commentList>
    <comment ref="O4" authorId="0">
      <text>
        <r>
          <rPr>
            <b/>
            <sz val="14"/>
            <color indexed="81"/>
            <rFont val="Tahoma"/>
            <family val="2"/>
            <charset val="204"/>
          </rPr>
          <t>504.12</t>
        </r>
      </text>
    </comment>
    <comment ref="P4" authorId="0">
      <text>
        <r>
          <rPr>
            <b/>
            <sz val="14"/>
            <color indexed="81"/>
            <rFont val="Tahoma"/>
            <family val="2"/>
            <charset val="204"/>
          </rPr>
          <t>504.22</t>
        </r>
      </text>
    </comment>
    <comment ref="Q4" authorId="0">
      <text>
        <r>
          <rPr>
            <b/>
            <sz val="14"/>
            <color indexed="81"/>
            <rFont val="Tahoma"/>
            <family val="2"/>
            <charset val="204"/>
          </rPr>
          <t>504.32</t>
        </r>
      </text>
    </comment>
  </commentList>
</comments>
</file>

<file path=xl/sharedStrings.xml><?xml version="1.0" encoding="utf-8"?>
<sst xmlns="http://schemas.openxmlformats.org/spreadsheetml/2006/main" count="3852" uniqueCount="1131">
  <si>
    <t>Наименование показателя</t>
  </si>
  <si>
    <t>Код строки</t>
  </si>
  <si>
    <t>текущий финансовый год</t>
  </si>
  <si>
    <t>первый год планового периода</t>
  </si>
  <si>
    <t>второй год планового периода</t>
  </si>
  <si>
    <t>Сумма</t>
  </si>
  <si>
    <t>1</t>
  </si>
  <si>
    <t>2</t>
  </si>
  <si>
    <t>3</t>
  </si>
  <si>
    <t>4</t>
  </si>
  <si>
    <t>5</t>
  </si>
  <si>
    <t>(наименование должности уполномоченного лица)</t>
  </si>
  <si>
    <t>(подпись)</t>
  </si>
  <si>
    <t>(расшифровка подписи)</t>
  </si>
  <si>
    <t>Коды</t>
  </si>
  <si>
    <t>Дата</t>
  </si>
  <si>
    <t>глава по БК</t>
  </si>
  <si>
    <t>ИНН</t>
  </si>
  <si>
    <t>КПП</t>
  </si>
  <si>
    <t>по ОКЕИ</t>
  </si>
  <si>
    <t>Учреждение</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</si>
  <si>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</si>
  <si>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</si>
  <si>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</si>
  <si>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</si>
  <si>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</si>
  <si>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</si>
  <si>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</si>
  <si>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</si>
  <si>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</si>
  <si>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</si>
  <si>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</si>
  <si>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</si>
  <si>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</si>
  <si>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</si>
  <si>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</si>
  <si>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</si>
  <si>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</si>
  <si>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</si>
  <si>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</si>
  <si>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</si>
  <si>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</si>
  <si>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</si>
  <si>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</si>
  <si>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</si>
  <si>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</si>
  <si>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субсидии на осуществление капитальных вложений</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</si>
  <si>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</si>
  <si>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</si>
  <si>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</si>
  <si>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</si>
  <si>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</si>
  <si>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</si>
  <si>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</si>
  <si>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</si>
  <si>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</si>
  <si>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</si>
  <si>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</si>
  <si>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</si>
  <si>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</si>
  <si>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</si>
  <si>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</si>
  <si>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</si>
  <si>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</si>
  <si>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</si>
  <si>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</si>
  <si>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</si>
  <si>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</si>
  <si>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</si>
  <si>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</si>
  <si>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</si>
  <si>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</si>
  <si>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</si>
  <si>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страховые взносы на обязательное социальное страхование в части выплат персоналу, подлежащих обложению страховыми взносами</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</si>
  <si>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</si>
  <si>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</si>
  <si>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</si>
  <si>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</si>
  <si>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</si>
  <si>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</si>
  <si>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</si>
  <si>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</si>
  <si>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</si>
  <si>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</si>
  <si>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</si>
  <si>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</si>
  <si>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</si>
  <si>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</si>
  <si>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</si>
  <si>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</si>
  <si>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</si>
  <si>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</si>
  <si>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</si>
  <si>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</si>
  <si>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</si>
  <si>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</si>
  <si>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</si>
  <si>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</si>
  <si>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</si>
  <si>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</si>
  <si>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</si>
  <si>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</si>
  <si>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</si>
  <si>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</si>
  <si>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</si>
  <si>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</si>
  <si>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</si>
  <si>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</si>
  <si>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</si>
  <si>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</si>
  <si>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</si>
  <si>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</si>
  <si>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</si>
  <si>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</si>
  <si>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</si>
  <si>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</si>
  <si>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</si>
  <si>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</si>
  <si>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</si>
  <si>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</si>
  <si>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</si>
  <si>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2630</t>
  </si>
  <si>
    <t>243</t>
  </si>
  <si>
    <t>прочую закупку товаров, работ и услуг, всего</t>
  </si>
  <si>
    <t>2640</t>
  </si>
  <si>
    <t>244</t>
  </si>
  <si>
    <t>2650</t>
  </si>
  <si>
    <t>400</t>
  </si>
  <si>
    <t>406</t>
  </si>
  <si>
    <t>407</t>
  </si>
  <si>
    <t>3000</t>
  </si>
  <si>
    <t>100</t>
  </si>
  <si>
    <t>3010</t>
  </si>
  <si>
    <t>3020</t>
  </si>
  <si>
    <t>3030</t>
  </si>
  <si>
    <t>4000</t>
  </si>
  <si>
    <t>из них:
возврат в бюджет средств субсидии</t>
  </si>
  <si>
    <t>4010</t>
  </si>
  <si>
    <t>610</t>
  </si>
  <si>
    <t>№
п/п</t>
  </si>
  <si>
    <t>Год
начала закупки</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</si>
  <si>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</si>
  <si>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</si>
  <si>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</si>
  <si>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</si>
  <si>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</si>
  <si>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</si>
  <si>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</si>
  <si>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</si>
  <si>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</si>
  <si>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</si>
  <si>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</si>
  <si>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</si>
  <si>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</si>
  <si>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</si>
  <si>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</si>
  <si>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</si>
  <si>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</si>
  <si>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</si>
  <si>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</si>
  <si>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</si>
  <si>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</si>
  <si>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</si>
  <si>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</si>
  <si>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</si>
  <si>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</si>
  <si>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</si>
  <si>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</si>
  <si>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</si>
  <si>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</si>
  <si>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</si>
  <si>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</si>
  <si>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</si>
  <si>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</si>
  <si>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</si>
  <si>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</si>
  <si>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</si>
  <si>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</si>
  <si>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</si>
  <si>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</si>
  <si>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</si>
  <si>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</si>
  <si>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</si>
  <si>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</si>
  <si>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</si>
  <si>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</si>
  <si>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</si>
  <si>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</si>
  <si>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</si>
  <si>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</si>
  <si>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</si>
  <si>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</si>
  <si>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</si>
  <si>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</si>
  <si>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органа, осуществляющего функции и полномочия  учредителя)</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</si>
  <si>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</si>
  <si>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за счет субсидий, предоставляемых на финансовое обеспечение выполнения муниципального задания</t>
  </si>
  <si>
    <t>(наименование должности уполномоченного лица органа, осуществляющего функции и полномочия учредителя)</t>
  </si>
  <si>
    <r>
      <t>в том числе:
по контрактам (договорам), заключенным до начала текущего финансового года без применения норм Федерального закона от 05.04.2013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18.07.2011 № 223-ФЗ «О закупках товаров, работ, услуг отдельными видами юридических лиц» (далее - Федеральный закон № 223-ФЗ)</t>
    </r>
    <r>
      <rPr>
        <vertAlign val="superscript"/>
        <sz val="8"/>
        <rFont val="Times New Roman"/>
        <family val="1"/>
        <charset val="204"/>
      </rPr>
      <t>12</t>
    </r>
  </si>
  <si>
    <r>
      <t>в соответствии с Федеральным законом № 223-ФЗ</t>
    </r>
    <r>
      <rPr>
        <vertAlign val="superscript"/>
        <sz val="8"/>
        <rFont val="Times New Roman"/>
        <family val="1"/>
        <charset val="204"/>
      </rPr>
      <t>14</t>
    </r>
  </si>
  <si>
    <r>
      <t>Выплаты на закупку товаров, работ, услуг, всего</t>
    </r>
    <r>
      <rPr>
        <b/>
        <vertAlign val="superscript"/>
        <sz val="8"/>
        <rFont val="Times New Roman"/>
        <family val="1"/>
        <charset val="204"/>
      </rPr>
      <t>11</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</si>
  <si>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8"/>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</si>
  <si>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8"/>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</si>
  <si>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8"/>
        <rFont val="Times New Roman"/>
        <family val="1"/>
        <charset val="204"/>
      </rPr>
      <t>13</t>
    </r>
  </si>
  <si>
    <r>
      <t>за счет субсидий, предоставляемых на осуществление капитальных вложений</t>
    </r>
    <r>
      <rPr>
        <vertAlign val="superscript"/>
        <sz val="8"/>
        <rFont val="Times New Roman"/>
        <family val="1"/>
        <charset val="204"/>
      </rPr>
      <t>15</t>
    </r>
  </si>
  <si>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8"/>
        <rFont val="Times New Roman"/>
        <family val="1"/>
        <charset val="204"/>
      </rPr>
      <t>16</t>
    </r>
  </si>
  <si>
    <t>руб.</t>
  </si>
  <si>
    <t>Комитет по образованию администрации города Мурманска</t>
  </si>
  <si>
    <t>УТВЕРЖДАЮ</t>
  </si>
  <si>
    <t>Комитет по образованию администрации 
города Мурманска</t>
  </si>
  <si>
    <t>Орган, осуществляющий функции и полномочия учредителя</t>
  </si>
  <si>
    <t>Единица измерения</t>
  </si>
  <si>
    <t xml:space="preserve">    Андрианов Василий Геннадьевич</t>
  </si>
  <si>
    <t>Председатель комитета</t>
  </si>
  <si>
    <t>по сводному реестру</t>
  </si>
  <si>
    <r>
      <t>Код по бюджетной классификации Российской Федерации</t>
    </r>
    <r>
      <rPr>
        <vertAlign val="superscript"/>
        <sz val="12"/>
        <rFont val="Times New Roman"/>
        <family val="1"/>
        <charset val="204"/>
      </rPr>
      <t>3</t>
    </r>
  </si>
  <si>
    <r>
      <t>Аналитический код</t>
    </r>
    <r>
      <rPr>
        <vertAlign val="superscript"/>
        <sz val="12"/>
        <rFont val="Times New Roman"/>
        <family val="1"/>
        <charset val="204"/>
      </rPr>
      <t>4</t>
    </r>
  </si>
  <si>
    <r>
      <t>Остаток средств на начало текущего финансового года</t>
    </r>
    <r>
      <rPr>
        <vertAlign val="superscript"/>
        <sz val="12"/>
        <rFont val="Times New Roman"/>
        <family val="1"/>
        <charset val="204"/>
      </rPr>
      <t>5</t>
    </r>
  </si>
  <si>
    <r>
      <t>Остаток средств на конец текущего финансового года</t>
    </r>
    <r>
      <rPr>
        <vertAlign val="superscript"/>
        <sz val="12"/>
        <rFont val="Times New Roman"/>
        <family val="1"/>
        <charset val="204"/>
      </rPr>
      <t>5</t>
    </r>
  </si>
  <si>
    <r>
      <t xml:space="preserve">прочие поступления, всего </t>
    </r>
    <r>
      <rPr>
        <vertAlign val="superscript"/>
        <sz val="12"/>
        <rFont val="Times New Roman"/>
        <family val="1"/>
        <charset val="204"/>
      </rPr>
      <t>6</t>
    </r>
  </si>
  <si>
    <r>
      <t xml:space="preserve">расходы на закупку товаров, работ, услуг, всего </t>
    </r>
    <r>
      <rPr>
        <vertAlign val="superscript"/>
        <sz val="12"/>
        <rFont val="Times New Roman"/>
        <family val="1"/>
        <charset val="204"/>
      </rPr>
      <t>7</t>
    </r>
  </si>
  <si>
    <r>
      <t xml:space="preserve">Выплаты, уменьшающие доход, всего </t>
    </r>
    <r>
      <rPr>
        <b/>
        <vertAlign val="superscript"/>
        <sz val="12"/>
        <rFont val="Times New Roman"/>
        <family val="1"/>
        <charset val="204"/>
      </rPr>
      <t>8</t>
    </r>
  </si>
  <si>
    <r>
      <t xml:space="preserve">в том числе:
налог на прибыль </t>
    </r>
    <r>
      <rPr>
        <vertAlign val="superscript"/>
        <sz val="12"/>
        <rFont val="Times New Roman"/>
        <family val="1"/>
        <charset val="204"/>
      </rPr>
      <t>8</t>
    </r>
  </si>
  <si>
    <r>
      <t xml:space="preserve">налог на добавленную стоимость </t>
    </r>
    <r>
      <rPr>
        <vertAlign val="superscript"/>
        <sz val="12"/>
        <rFont val="Times New Roman"/>
        <family val="1"/>
        <charset val="204"/>
      </rPr>
      <t>8</t>
    </r>
  </si>
  <si>
    <r>
      <t xml:space="preserve">прочие налоги, уменьшающие доход </t>
    </r>
    <r>
      <rPr>
        <vertAlign val="superscript"/>
        <sz val="12"/>
        <rFont val="Times New Roman"/>
        <family val="1"/>
        <charset val="204"/>
      </rPr>
      <t>8</t>
    </r>
  </si>
  <si>
    <r>
      <t xml:space="preserve">Прочие выплаты, всего </t>
    </r>
    <r>
      <rPr>
        <b/>
        <vertAlign val="superscript"/>
        <sz val="12"/>
        <rFont val="Times New Roman"/>
        <family val="1"/>
        <charset val="204"/>
      </rPr>
      <t>9</t>
    </r>
  </si>
  <si>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</si>
  <si>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</si>
  <si>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</si>
  <si>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</si>
  <si>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t xml:space="preserve">Раздел 2. Сведения по выплатам на закупки товаров, работ, услуг </t>
    </r>
    <r>
      <rPr>
        <b/>
        <vertAlign val="superscript"/>
        <sz val="14"/>
        <rFont val="Times New Roman"/>
        <family val="1"/>
        <charset val="204"/>
      </rPr>
      <t>10</t>
    </r>
  </si>
  <si>
    <t>Аренда</t>
  </si>
  <si>
    <t>Штрафы, пени, неустойки, возмещения ущерба</t>
  </si>
  <si>
    <t>Невыясненные поступления</t>
  </si>
  <si>
    <t>Командировочные, Суточные</t>
  </si>
  <si>
    <t>Командировочные, Сопровождение</t>
  </si>
  <si>
    <t>Гигиеническая аттестация по авансовым отчетам</t>
  </si>
  <si>
    <t>Компенсация медкомиссии при трудоустройстве</t>
  </si>
  <si>
    <t>Питание участвующих в соревнованиях</t>
  </si>
  <si>
    <t>Аренда контейнера</t>
  </si>
  <si>
    <t>Аренда спортивных сооружений</t>
  </si>
  <si>
    <t>Командировочные, Участники</t>
  </si>
  <si>
    <t>Стрелковая подготовка</t>
  </si>
  <si>
    <t>Медкомиссия</t>
  </si>
  <si>
    <t>Все остальное</t>
  </si>
  <si>
    <t>Страхование учащихся</t>
  </si>
  <si>
    <t>Услуги, работы для целей капитальных вложений</t>
  </si>
  <si>
    <t>Лекарственные препараты</t>
  </si>
  <si>
    <t>Продукты питания</t>
  </si>
  <si>
    <t>Горюче-смазочные материалы</t>
  </si>
  <si>
    <t>Строительные материалы</t>
  </si>
  <si>
    <t>Мягкий инвентарь</t>
  </si>
  <si>
    <t xml:space="preserve">Прочие оборотные запасы </t>
  </si>
  <si>
    <t>Материальные запасы для целей капитальных вложений</t>
  </si>
  <si>
    <t>Наградная продукция</t>
  </si>
  <si>
    <t>Компенсация расходов на выезд из районов крайнего севера</t>
  </si>
  <si>
    <t>Выплаты выходного пособия при расторжении трудового договора</t>
  </si>
  <si>
    <t>Госпошлина</t>
  </si>
  <si>
    <t>Пени за несвоевременную уплату налогов, сборов</t>
  </si>
  <si>
    <t>Пени за неисполнение условий договоров</t>
  </si>
  <si>
    <t>Штрафы Роспотребнадзор</t>
  </si>
  <si>
    <t>Ставка рефинансирования за задержку заработной платы</t>
  </si>
  <si>
    <t>Вывоз мусора</t>
  </si>
  <si>
    <t>Выплата государственных премий</t>
  </si>
  <si>
    <t>Налог на имущество организаций</t>
  </si>
  <si>
    <t>Земельный налог</t>
  </si>
  <si>
    <t>Прочая аренда</t>
  </si>
  <si>
    <t>3 и 6 окладов</t>
  </si>
  <si>
    <t>Компенсация проезда к месту проведения отпуска и обратно</t>
  </si>
  <si>
    <t>Пособие до достижения 3-х лет</t>
  </si>
  <si>
    <t>Командировочные, Питание детей</t>
  </si>
  <si>
    <t>Командировочные, Одаренные дети</t>
  </si>
  <si>
    <t>АУП</t>
  </si>
  <si>
    <t>Педагогический персонал</t>
  </si>
  <si>
    <t>Вспомогательный персонал</t>
  </si>
  <si>
    <t>КФО 4</t>
  </si>
  <si>
    <t>Командировочные, участники (дети)</t>
  </si>
  <si>
    <t>МЭК</t>
  </si>
  <si>
    <t>з/п</t>
  </si>
  <si>
    <t>3 дня б/л</t>
  </si>
  <si>
    <t>связь</t>
  </si>
  <si>
    <t>транспортные расходы</t>
  </si>
  <si>
    <t>прочее</t>
  </si>
  <si>
    <t>121</t>
  </si>
  <si>
    <t>доходы от операционной аренды</t>
  </si>
  <si>
    <t>131</t>
  </si>
  <si>
    <t>поступления от оказания услуг (выполнения работ) на платной основе и от иной приносящей доход деятельности</t>
  </si>
  <si>
    <t>1220</t>
  </si>
  <si>
    <t>доходы по условным арендным платежам</t>
  </si>
  <si>
    <t>135</t>
  </si>
  <si>
    <t>возмещение коммунальных услуг</t>
  </si>
  <si>
    <t>141</t>
  </si>
  <si>
    <t>доходы от штрафных санкций за нарушение законодательства о закупках и нарушение условий контрактов (договоров)</t>
  </si>
  <si>
    <t>целевое финансирование за нарушение условий договора</t>
  </si>
  <si>
    <t>прочие доходы от сумм принудительного изъятия</t>
  </si>
  <si>
    <t>1320</t>
  </si>
  <si>
    <t>145</t>
  </si>
  <si>
    <t>возмещение ущерба</t>
  </si>
  <si>
    <t>1410</t>
  </si>
  <si>
    <t>гранты, пожертвования от организаций государственного сектора</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</si>
  <si>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</si>
  <si>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1420</t>
  </si>
  <si>
    <t>155</t>
  </si>
  <si>
    <t>гранты, пожертвования от иных организаций и физических лиц (+целевые)</t>
  </si>
  <si>
    <t>152</t>
  </si>
  <si>
    <t>субсидия на иные цели</t>
  </si>
  <si>
    <t>162</t>
  </si>
  <si>
    <t>440</t>
  </si>
  <si>
    <t>1910</t>
  </si>
  <si>
    <t>442</t>
  </si>
  <si>
    <t>уменьшение стоимости продуктов питания</t>
  </si>
  <si>
    <t>недостача продуктов питания</t>
  </si>
  <si>
    <t>уменьшение стоимости прочих оборотных ценностей (материалов)</t>
  </si>
  <si>
    <t>1920</t>
  </si>
  <si>
    <t>446</t>
  </si>
  <si>
    <t>недостача материальных ценностей</t>
  </si>
  <si>
    <t>200</t>
  </si>
  <si>
    <t xml:space="preserve">     из них:
     заработная плата</t>
  </si>
  <si>
    <t>2111</t>
  </si>
  <si>
    <t>211</t>
  </si>
  <si>
    <t xml:space="preserve">     социальные пособия и компенсации персоналу в денежной форме</t>
  </si>
  <si>
    <t>2112</t>
  </si>
  <si>
    <t>266</t>
  </si>
  <si>
    <t>пособие за первые три дня нетрудоспос</t>
  </si>
  <si>
    <t xml:space="preserve">    из них:
    прочие несоциальные выплаты персоналу в денежной форме</t>
  </si>
  <si>
    <t>2121</t>
  </si>
  <si>
    <t>212</t>
  </si>
  <si>
    <t>единовр пособие мол спец и проч; суточные в командировке</t>
  </si>
  <si>
    <t xml:space="preserve">    прочие несоциальные выплаты персоналу в натуральной форме</t>
  </si>
  <si>
    <t>2122</t>
  </si>
  <si>
    <t>214</t>
  </si>
  <si>
    <t>компенсация к месту отдыха и обратно</t>
  </si>
  <si>
    <t xml:space="preserve">    прочие работы, услуги</t>
  </si>
  <si>
    <t>2123</t>
  </si>
  <si>
    <t>226</t>
  </si>
  <si>
    <t>возмещение расходов на прохожд мед комиссии, гиг аттест; проживание и проезд в командировку</t>
  </si>
  <si>
    <t xml:space="preserve">    социальные пособия и компенсации персоналу в денежной форме</t>
  </si>
  <si>
    <t>2124</t>
  </si>
  <si>
    <t>выплаты сотр, наход в отпуске по уходу за ребенком до 3-х лет</t>
  </si>
  <si>
    <t>питание учащихсяпри направлениина мероприятия</t>
  </si>
  <si>
    <t>213</t>
  </si>
  <si>
    <t>страховые взносы на оплату труда</t>
  </si>
  <si>
    <t>КОСГУ 292, 293, 296</t>
  </si>
  <si>
    <t xml:space="preserve">    из них:</t>
  </si>
  <si>
    <t>2641</t>
  </si>
  <si>
    <t>221</t>
  </si>
  <si>
    <t xml:space="preserve">    услуги связи</t>
  </si>
  <si>
    <t xml:space="preserve">    транспортные услуги</t>
  </si>
  <si>
    <t>2642</t>
  </si>
  <si>
    <t>222</t>
  </si>
  <si>
    <t xml:space="preserve">    коммунальные услуги</t>
  </si>
  <si>
    <t>2643</t>
  </si>
  <si>
    <t>223</t>
  </si>
  <si>
    <t xml:space="preserve">    арендная плата за пользование имуществом</t>
  </si>
  <si>
    <t>2644</t>
  </si>
  <si>
    <t>224</t>
  </si>
  <si>
    <t xml:space="preserve">    работы, услуги по содержанию имущества</t>
  </si>
  <si>
    <t>2645</t>
  </si>
  <si>
    <t>225</t>
  </si>
  <si>
    <t>2646</t>
  </si>
  <si>
    <t xml:space="preserve">    услуги, работы для целей капитальных вложений</t>
  </si>
  <si>
    <t>2647</t>
  </si>
  <si>
    <t>228</t>
  </si>
  <si>
    <t xml:space="preserve">    увеличение стоимости основных средств</t>
  </si>
  <si>
    <t>2648</t>
  </si>
  <si>
    <t>310</t>
  </si>
  <si>
    <t xml:space="preserve">    увеличение стоимости материальных запасов</t>
  </si>
  <si>
    <t>2649</t>
  </si>
  <si>
    <t>189</t>
  </si>
  <si>
    <r>
      <rPr>
        <vertAlign val="superscript"/>
        <sz val="10"/>
        <rFont val="Times New Roman"/>
        <family val="1"/>
        <charset val="204"/>
      </rPr>
      <t>2</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</si>
  <si>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rPr>
        <vertAlign val="superscript"/>
        <sz val="10"/>
        <rFont val="Times New Roman"/>
        <family val="1"/>
        <charset val="204"/>
      </rPr>
      <t>3</t>
    </r>
    <r>
      <rPr>
        <sz val="10"/>
        <rFont val="Times New Roman"/>
        <family val="1"/>
        <charset val="204"/>
      </rPr>
      <t>В графе 3 отражаются:</t>
    </r>
  </si>
  <si>
    <t>проверка- д.б. нули</t>
  </si>
  <si>
    <t>4-бюдж (за искл договов, заключ в 2019 г)</t>
  </si>
  <si>
    <t>4-авт (за искл договов, заключ в 2019 г)</t>
  </si>
  <si>
    <t>5-авт</t>
  </si>
  <si>
    <t>2-авт</t>
  </si>
  <si>
    <t>\</t>
  </si>
  <si>
    <r>
      <rPr>
        <vertAlign val="superscript"/>
        <sz val="10"/>
        <rFont val="Times New Roman"/>
        <family val="1"/>
        <charset val="204"/>
      </rPr>
      <t>11</t>
    </r>
    <r>
      <rPr>
        <sz val="10"/>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t>
    </r>
  </si>
  <si>
    <r>
      <rPr>
        <vertAlign val="superscript"/>
        <sz val="10"/>
        <rFont val="Times New Roman"/>
        <family val="1"/>
        <charset val="204"/>
      </rPr>
      <t>12</t>
    </r>
    <r>
      <rPr>
        <sz val="10"/>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</si>
  <si>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0"/>
        <rFont val="Times New Roman"/>
        <family val="1"/>
        <charset val="204"/>
      </rPr>
      <t>13</t>
    </r>
    <r>
      <rPr>
        <sz val="10"/>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</si>
  <si>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0"/>
        <rFont val="Times New Roman"/>
        <family val="1"/>
        <charset val="204"/>
      </rPr>
      <t>14</t>
    </r>
    <r>
      <rPr>
        <sz val="10"/>
        <rFont val="Times New Roman"/>
        <family val="1"/>
        <charset val="204"/>
      </rPr>
      <t xml:space="preserve"> Государственным (муниципальным) бюджетным учреждением показатель не формируется.</t>
    </r>
  </si>
  <si>
    <r>
      <rPr>
        <vertAlign val="superscript"/>
        <sz val="10"/>
        <rFont val="Times New Roman"/>
        <family val="1"/>
        <charset val="204"/>
      </rPr>
      <t>15</t>
    </r>
    <r>
      <rPr>
        <sz val="10"/>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</si>
  <si>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10"/>
        <rFont val="Times New Roman"/>
        <family val="1"/>
        <charset val="204"/>
      </rPr>
      <t>16</t>
    </r>
    <r>
      <rPr>
        <sz val="10"/>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</si>
  <si>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2-ВНЕБЮДЖЕТ</t>
  </si>
  <si>
    <t>5-ИНЫЕ ЦЕЛИ</t>
  </si>
  <si>
    <t>Постановление по суду (взыскание по исковому заявлению)</t>
  </si>
  <si>
    <t>Взыскания пенсионного фонда</t>
  </si>
  <si>
    <t>Программное обеспечение (дополнительно)</t>
  </si>
  <si>
    <t>Мед осмотр</t>
  </si>
  <si>
    <t>Прочие доходы от сумм принудительного изъятия</t>
  </si>
  <si>
    <t>296</t>
  </si>
  <si>
    <t>264</t>
  </si>
  <si>
    <t>262</t>
  </si>
  <si>
    <t>227</t>
  </si>
  <si>
    <t>услуги по страхованию имущества, гражданской ответственности и здоровья</t>
  </si>
  <si>
    <t>субсидия на выполн мун зад</t>
  </si>
  <si>
    <t>выплата компенсации родителям за обучение на дому детей-инвалидов</t>
  </si>
  <si>
    <t>из них:
пособия по социальной помощи населению в денежной форме</t>
  </si>
  <si>
    <t>пособия по социальной помощи, выплачиваемые работодателями, нанимателями бывшим работникам в натуральной форме</t>
  </si>
  <si>
    <t>265</t>
  </si>
  <si>
    <t>компенсация расходов, связанные с перездом из р-в Крайнего Севера;</t>
  </si>
  <si>
    <t>290</t>
  </si>
  <si>
    <t>уплата штрафов (в том числе административных), пеней, иных платежей</t>
  </si>
  <si>
    <t>пенсии, пособия, выплачиваемые работодателями, нанимателями бывшим работникам в денежной форме</t>
  </si>
  <si>
    <r>
      <rPr>
        <vertAlign val="superscript"/>
        <sz val="10"/>
        <rFont val="Times New Roman"/>
        <family val="1"/>
        <charset val="204"/>
      </rPr>
      <t>1</t>
    </r>
    <r>
      <rPr>
        <sz val="10"/>
        <rFont val="Times New Roman"/>
        <family val="1"/>
        <charset val="204"/>
      </rPr>
      <t xml:space="preserve"> В случае утверждения закона (решения) о бюджете на текущий финансовый год и плановый период.</t>
    </r>
  </si>
  <si>
    <r>
      <rPr>
        <vertAlign val="superscript"/>
        <sz val="10"/>
        <rFont val="Times New Roman"/>
        <family val="1"/>
        <charset val="204"/>
      </rPr>
      <t>5</t>
    </r>
    <r>
      <rPr>
        <sz val="10"/>
        <rFont val="Times New Roman"/>
        <family val="1"/>
        <charset val="204"/>
      </rPr>
      <t>_По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</si>
  <si>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0"/>
        <rFont val="Times New Roman"/>
        <family val="1"/>
        <charset val="204"/>
      </rPr>
      <t>6</t>
    </r>
    <r>
      <rPr>
        <sz val="10"/>
        <rFont val="Times New Roman"/>
        <family val="1"/>
        <charset val="204"/>
      </rPr>
      <t>_Показатели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</si>
  <si>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0"/>
        <rFont val="Times New Roman"/>
        <family val="1"/>
        <charset val="204"/>
      </rPr>
      <t>8</t>
    </r>
    <r>
      <rPr>
        <sz val="10"/>
        <rFont val="Times New Roman"/>
        <family val="1"/>
        <charset val="204"/>
      </rPr>
      <t>_Показатель отражается со знаком «минус».</t>
    </r>
  </si>
  <si>
    <r>
      <rPr>
        <vertAlign val="superscript"/>
        <sz val="10"/>
        <rFont val="Times New Roman"/>
        <family val="1"/>
        <charset val="204"/>
      </rPr>
      <t>9</t>
    </r>
    <r>
      <rPr>
        <sz val="10"/>
        <rFont val="Times New Roman"/>
        <family val="1"/>
        <charset val="204"/>
      </rPr>
      <t>_Показатели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</si>
  <si>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Директор</t>
  </si>
  <si>
    <t>Экономист</t>
  </si>
  <si>
    <t>24-54-29</t>
  </si>
  <si>
    <t>Х</t>
  </si>
  <si>
    <t>10</t>
  </si>
  <si>
    <t>9</t>
  </si>
  <si>
    <t>8</t>
  </si>
  <si>
    <t>7</t>
  </si>
  <si>
    <t>6</t>
  </si>
  <si>
    <t>11</t>
  </si>
  <si>
    <t>12</t>
  </si>
  <si>
    <t>целевые субсидии</t>
  </si>
  <si>
    <t>Приложение</t>
  </si>
  <si>
    <t>к Порядку составления и утверждения плана финансово-</t>
  </si>
  <si>
    <t>хозяйственной деятельности муниципальных бюджетных</t>
  </si>
  <si>
    <t>и автономных учреждений, подведомственных</t>
  </si>
  <si>
    <t>комитету по образованию администрации города Мурманска</t>
  </si>
  <si>
    <t>Обоснования (расчеты)</t>
  </si>
  <si>
    <t xml:space="preserve"> плановых показателей по поступлениям, использованные при формировании плана финансово-хозяйственной деятельности учреждения</t>
  </si>
  <si>
    <t>1. Обоснование (расчет) доходов от использования собственности</t>
  </si>
  <si>
    <t>Код аналитической группы подвида доходов</t>
  </si>
  <si>
    <t>№ п/п</t>
  </si>
  <si>
    <t>Планируемый объем предоставления имущества в аренду (в натуральных показателях)</t>
  </si>
  <si>
    <t>Средняя плата (тариф) арендной платы за единицу площади (объект), руб.</t>
  </si>
  <si>
    <t>Объем планируемых поступлений, руб.</t>
  </si>
  <si>
    <t>Доходы от использования имущества, находящегося в государственной собственности и переданного в аренду</t>
  </si>
  <si>
    <t>Помещения нежилые, кв. м</t>
  </si>
  <si>
    <t>АРЕНДА</t>
  </si>
  <si>
    <t>Движимое имущество, шт.</t>
  </si>
  <si>
    <t>Итого</t>
  </si>
  <si>
    <t>2. Обоснование (расчет) доходов от оказания услуг, работ, компенсации затрат учреждения</t>
  </si>
  <si>
    <t>Субсидии на финансовое обеспечение выполнения муниципального задания</t>
  </si>
  <si>
    <t>Доходы от оказания услуг, выполнения работ в рамках установленного муниципального задания</t>
  </si>
  <si>
    <t>Доходы от оказания услуг, выполнения работ за плату сверх установленного муниципального задания</t>
  </si>
  <si>
    <t>Платные услуги</t>
  </si>
  <si>
    <t>Плановые поступления в порядке возмещения расходов, понесенных в связи с эксплуатацией имущества, находящегося в оперативном управлении  учреждения</t>
  </si>
  <si>
    <t>Наименование услуги (работы)</t>
  </si>
  <si>
    <t>Планируемый объем оказания услуг, выполнения работ (в натуральных показателях)</t>
  </si>
  <si>
    <t>Плата (тариф) за единицу оказания услуг (выполнения работ), руб.</t>
  </si>
  <si>
    <t>НЕ ЗАПОЛНЯЕМ</t>
  </si>
  <si>
    <t>Услуга 1, ед. изм.</t>
  </si>
  <si>
    <t>Услуга 2, ед. изм.</t>
  </si>
  <si>
    <t>Услуга 3, ед. изм.</t>
  </si>
  <si>
    <t>ПЛАТНЫЕ</t>
  </si>
  <si>
    <t>3. Обоснование (расчет) доходов от штрафов, пеней, неустойки, возмещения ущерба</t>
  </si>
  <si>
    <t>Доходы от штрафов, пеней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нужд и нарушение условий контрактов (договоров)</t>
  </si>
  <si>
    <t>ШТРАФЫ И ПЕНИ ЗА НАРУШЕНИЯ ПО КОНТРАКТАМ</t>
  </si>
  <si>
    <t>4. Обоснование (расчет) доходов от безвозмездных денежных поступлений</t>
  </si>
  <si>
    <t>Поступления в форме грантов, предоставляемых в форме субсидий из бюджета</t>
  </si>
  <si>
    <t>БЮДЖЕТНЫЕ ГРАНТЫ</t>
  </si>
  <si>
    <t>по основаниям</t>
  </si>
  <si>
    <t>Поступления в форме пожервований и иные безвозмездные поступления от организаций государственного сектора</t>
  </si>
  <si>
    <t>Поступления в форме грантов от физических и юридических лиц</t>
  </si>
  <si>
    <t>ГРАНТЫ</t>
  </si>
  <si>
    <t>3.1</t>
  </si>
  <si>
    <t>Поступления в форме пожервований и иные безвозмездные поступления от физических и юридических лиц</t>
  </si>
  <si>
    <t>ДОБРОВОЛЬНЫЕ ПОЖЕР-Я И ЦЕЛЕ ФИН-Е</t>
  </si>
  <si>
    <t>5. Обоснование (расчет) прочих доходов</t>
  </si>
  <si>
    <t>Субсидия на иные цели</t>
  </si>
  <si>
    <t>Субсидия на осуществление капитальных вложений</t>
  </si>
  <si>
    <t>6. Обоснование (расчет) доходов от операций с активами</t>
  </si>
  <si>
    <t>Доходы от реализации материальных запасов</t>
  </si>
  <si>
    <t>Доходы от возмещения ущерба, выявленного в связи с недостачей продуктов питания</t>
  </si>
  <si>
    <t>НЕДОСТАЧИ СТ.340</t>
  </si>
  <si>
    <t>Доходы от возмещения ущерба, выявленного в связи с недостачей прочих материальных запасов</t>
  </si>
  <si>
    <t>7.Обоснование (расчет) прочих поступлений</t>
  </si>
  <si>
    <t>Доходы от возврата дебиторской задолженности прошлых лет</t>
  </si>
  <si>
    <t>ФСС, КОНТРАГЕНТЫ</t>
  </si>
  <si>
    <t>1. Обоснование (расчет) выплат персоналу</t>
  </si>
  <si>
    <t>1.1. Обоснование (расчет) расходов на фонд оплаты труда</t>
  </si>
  <si>
    <t>Код вида расходов</t>
  </si>
  <si>
    <t>Наименование должности</t>
  </si>
  <si>
    <t>Плановая средняя численность работников, учтенная в расчете, человек</t>
  </si>
  <si>
    <t>Среднемесячный размер оплаты труда на одного работника, руб.</t>
  </si>
  <si>
    <t>Районный коэффициент  (1,5), руб.</t>
  </si>
  <si>
    <t>Фонд оплаты труда в год, руб.</t>
  </si>
  <si>
    <t>всего</t>
  </si>
  <si>
    <t>базовая часть оплаты труда</t>
  </si>
  <si>
    <t>по выплатам компенсационного  характера и прочие выплаты</t>
  </si>
  <si>
    <t>по выплатам стимулирующего характера</t>
  </si>
  <si>
    <t>10 = 4*5*12мес.+ 9</t>
  </si>
  <si>
    <t>Медицинский персонал</t>
  </si>
  <si>
    <t>Прочий персонал</t>
  </si>
  <si>
    <t>1.2 Обоснование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t>
  </si>
  <si>
    <t>Наименование выплат</t>
  </si>
  <si>
    <t>Количество выплат в год, ед.</t>
  </si>
  <si>
    <t>Средний размер одной выплаты, руб.</t>
  </si>
  <si>
    <t>Объем планируемых выплат, руб.</t>
  </si>
  <si>
    <t>6 = 4*5</t>
  </si>
  <si>
    <t>9 = 7*8</t>
  </si>
  <si>
    <t>12 = 10*11</t>
  </si>
  <si>
    <t>Пособие за первые три дня временной нетрудоспособности при утрате трудоспособности вследствие заболевания или травмы</t>
  </si>
  <si>
    <t>1.3. Обоснование (расчет) расходов на прочие выплаты персоналу, в том числе компенсационного характера</t>
  </si>
  <si>
    <t>Выплаты работникам при направлении их в служебные командировки</t>
  </si>
  <si>
    <t>Возмещение должностным лицам расходов на приобретение проездных документов в служебных целях на все виды общественного транспорта</t>
  </si>
  <si>
    <t>Возмещение расходов на прохождение медицинских осмотров, гигиенической подготовки</t>
  </si>
  <si>
    <t>Ежемесячные компенсационные выплаты работникам, находящимся в отпуске по уходу за ребенком до достижения им возраста 3 лет</t>
  </si>
  <si>
    <t>Компенсация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</si>
  <si>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 xml:space="preserve">Выплата единовременного пособия </t>
  </si>
  <si>
    <t>Прочие выплаты</t>
  </si>
  <si>
    <t>1.3.1. Обоснование (расчет) выплат работникам при направлении их в служебные командировки</t>
  </si>
  <si>
    <t>Количество командируемых работников, чел.</t>
  </si>
  <si>
    <t>Количество дней нахождения в командировке, дней</t>
  </si>
  <si>
    <t>Средний размер выплаты на одного работника в день, руб.</t>
  </si>
  <si>
    <t>Коли чество дней нахож дения в коман дировке, дней</t>
  </si>
  <si>
    <t>Коли чество команди руемых работ ников, чел.</t>
  </si>
  <si>
    <t>6 = 3*4*5</t>
  </si>
  <si>
    <t>10 = 7*8*9</t>
  </si>
  <si>
    <t>13</t>
  </si>
  <si>
    <t>14 = 11*12*13</t>
  </si>
  <si>
    <t>1.3.2. Обоснование (расчет) расходов на возмещение должностным лицам расходов на приобретение проездных документов в служебных целях на все виды общественного транспорта</t>
  </si>
  <si>
    <t>Количество работников, чел.</t>
  </si>
  <si>
    <t>Количество поездок в год на одного работника, ед.</t>
  </si>
  <si>
    <t>Средний размер выплаты на одного работника за одну поездку, руб.</t>
  </si>
  <si>
    <t>1.3.3. Обоснование (расчет) возмещения работникам расходов на прохождение медицинского осмотра, гигиенической подготовки</t>
  </si>
  <si>
    <t>Количество получателей выплаты, чел.</t>
  </si>
  <si>
    <t>Средний размер выплаты на одного работника, руб.</t>
  </si>
  <si>
    <t>Объем планируемы х выплат, руб.</t>
  </si>
  <si>
    <t>5 = 3*4</t>
  </si>
  <si>
    <t>8 = 6*7</t>
  </si>
  <si>
    <t>11 = 9*10</t>
  </si>
  <si>
    <t>1.3.4.  Обоснование (расчет) выплат работникам пособий по уходу за ребенком</t>
  </si>
  <si>
    <t>Количество выплат в год на одного работника</t>
  </si>
  <si>
    <t>Размер выплаты (пособия) в месяц (руб.)</t>
  </si>
  <si>
    <t>1.3.5.  Обоснование (расчет) компенсация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</si>
  <si>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 xml:space="preserve">Размер стоимости проезда и 
провоза багажа, руб. </t>
  </si>
  <si>
    <t xml:space="preserve">1.3.6.  Обоснование (расчет) выплаты единовременного пособия </t>
  </si>
  <si>
    <t>Размер выплаты, руб.</t>
  </si>
  <si>
    <t>1.3.7.  Обоснование (расчет) по прочим выплатам</t>
  </si>
  <si>
    <t>1.4. Обоснование (расчет) расходов на иные выплаты, за исключением фонда оплаты труда учреждения, для выполнения отдельных полномочий</t>
  </si>
  <si>
    <t>1.5. Обоснование (расчет) страховых взносы по обязательному социальному страхованию на выплаты по оплате труда работников и иные выплаты работникам учреждений</t>
  </si>
  <si>
    <t>1.5.1 Обоснование (расчет) страховых взносы по обязательному социальному страхованию на выплаты по оплате труда работников</t>
  </si>
  <si>
    <t>Код видов расходов</t>
  </si>
  <si>
    <t>6 = 4*5/100</t>
  </si>
  <si>
    <t>9 = 7*8/100</t>
  </si>
  <si>
    <t>12 = 10*11/100</t>
  </si>
  <si>
    <t>С применением пониженных тарифов страховых взносов в Пенсионный фонд Российской Федерации для отдельных категорий плательщиков</t>
  </si>
  <si>
    <t>2.1</t>
  </si>
  <si>
    <t>2.2</t>
  </si>
  <si>
    <t>2.3</t>
  </si>
  <si>
    <t>2.4</t>
  </si>
  <si>
    <t>2.5</t>
  </si>
  <si>
    <t xml:space="preserve">1.5.2 Обоснование (расчет) страховых взносы по обязательному социальному страхованию на иные выплаты </t>
  </si>
  <si>
    <t>2. Обоснование (расчет) расходов на социальные и иные выплаты населению</t>
  </si>
  <si>
    <t>Наименование расходов</t>
  </si>
  <si>
    <t>Итого:</t>
  </si>
  <si>
    <t>Количество платежей в год, ед.</t>
  </si>
  <si>
    <t>5. Обоснование (расчет) расходов на закупку товаров, работ, услуг</t>
  </si>
  <si>
    <t>5.1. Обоснование (расчет) расходов на оплату услуг связи</t>
  </si>
  <si>
    <t>Количество номеров, услуг ед.</t>
  </si>
  <si>
    <t>Стоимость за единицу, руб.</t>
  </si>
  <si>
    <t>7 = 4*5*6</t>
  </si>
  <si>
    <t>11 = 8*9*10</t>
  </si>
  <si>
    <t>14</t>
  </si>
  <si>
    <t>15 = 12*13*14</t>
  </si>
  <si>
    <t>5.2. Обоснование (расчет) расходов на оплату транспортных услуг</t>
  </si>
  <si>
    <t>Количество услуг перевозки в год</t>
  </si>
  <si>
    <t>Цена услуги перевозки, руб.</t>
  </si>
  <si>
    <t>5.3. Обоснование (расчет) расходов на оплату коммунальных услуг</t>
  </si>
  <si>
    <t>Объем потребления ресурсов</t>
  </si>
  <si>
    <t>Тариф (с учетом НДС), руб.</t>
  </si>
  <si>
    <t>Электроснабжение</t>
  </si>
  <si>
    <t>Теплоснабжение</t>
  </si>
  <si>
    <t>Водоснабжение и водоотведение</t>
  </si>
  <si>
    <t>Обращение с твердыми коммунальными отходами</t>
  </si>
  <si>
    <t>5.4. Обоснование (расчет) расходов на оплату аренды имущества</t>
  </si>
  <si>
    <t>Объем услуги (в натуральных показателях)</t>
  </si>
  <si>
    <t>Ставка арендной платы, руб.</t>
  </si>
  <si>
    <t>5.5. Обоснование (расчет) расходов на оплату работ, услуг по содержанию имущества</t>
  </si>
  <si>
    <t>Количество работ (услуг)</t>
  </si>
  <si>
    <t>Стоимость работ (услуг), руб.</t>
  </si>
  <si>
    <t>5.6. Обоснование (расчет) расходов на оплату прочих работ, услуг</t>
  </si>
  <si>
    <t>Количество договоров, ед.</t>
  </si>
  <si>
    <t>Стоимость услуги по договору, руб.</t>
  </si>
  <si>
    <t>5.7. Обоснование (расчет) расходов на оплату услуг страхования</t>
  </si>
  <si>
    <t>5.8. Обоснование (расчет) расходов на оплату работ, услуг для целей капитальных вложений</t>
  </si>
  <si>
    <t>5.9. Обоснование (расчет) расходов на приобретение основных средств</t>
  </si>
  <si>
    <t>5.10. Обоснование (расчет) расходов на приобретение материальных запасов</t>
  </si>
  <si>
    <t>Цены за единицу, руб.</t>
  </si>
  <si>
    <t>6. Обоснование (расчет) расходов на капитальные вложения в объекты государственной собственности</t>
  </si>
  <si>
    <t>Площадь объекта, кв. м</t>
  </si>
  <si>
    <t>Цена за 1 кв. м, руб.</t>
  </si>
  <si>
    <t>Приобретение объектов недвижимого имущества государственными учреждениями</t>
  </si>
  <si>
    <t>По объектам</t>
  </si>
  <si>
    <t>Строительство (реконструкция) объектов недвижимого имущества государственными учреждениями</t>
  </si>
  <si>
    <t>(дата)</t>
  </si>
  <si>
    <t>Вывоз снега</t>
  </si>
  <si>
    <t>Тревожная кнопка</t>
  </si>
  <si>
    <t xml:space="preserve">субсидия на иные цели </t>
  </si>
  <si>
    <t>Проверочная таблица</t>
  </si>
  <si>
    <t>Доходы с листа № 2</t>
  </si>
  <si>
    <t>Доходы этого листа</t>
  </si>
  <si>
    <t>Разинца</t>
  </si>
  <si>
    <t>ДОЛЖНО БЫТЬ 0</t>
  </si>
  <si>
    <t>Услуга 1, Программы дополнительного образования детей естественно-научной направленности</t>
  </si>
  <si>
    <t>Услуга 2, Программа адаптации детей дошкольного возраста к обучению в школе</t>
  </si>
  <si>
    <t>Услуга 4, Программы дополнительного образования детей математической направленности</t>
  </si>
  <si>
    <t>Они должны относиться к основной деятельности учреждения, а на их оказание выделяют бюджетные средства, если денег не выделяют, то указываем ниже</t>
  </si>
  <si>
    <t>5 = 6+7+8</t>
  </si>
  <si>
    <t>Гигиеническая аттестация</t>
  </si>
  <si>
    <t>Компенсация расходов на оплату стоимости проезда и провоза багажа к месту использования отпуска и обратно</t>
  </si>
  <si>
    <t>Выплаты работникам пособий по уходу за ребенком</t>
  </si>
  <si>
    <t>Суточные</t>
  </si>
  <si>
    <t>Оплата проживания (включая расходы по оформлению документов и иных сборов)</t>
  </si>
  <si>
    <t>Оплата проезда (включая расходы по оформлению проездных документов и иных сборов)</t>
  </si>
  <si>
    <t>Источник финансового обеспечения: 02 - поступления от оказания услуг (выполнения работ) на платной основе и от иной приносящей доход деятельности</t>
  </si>
  <si>
    <t>Среднее количество минут муждугородней и международной телефонной связи</t>
  </si>
  <si>
    <t>Прочие расходы услуг связи</t>
  </si>
  <si>
    <t>Транспортные услуги</t>
  </si>
  <si>
    <t>Прочие услуги аренды</t>
  </si>
  <si>
    <t>Абоненская плата за предоставление услуг связи</t>
  </si>
  <si>
    <t>Услуги интернета</t>
  </si>
  <si>
    <t>Почтовые расходы</t>
  </si>
  <si>
    <t>Механизированная уборка и вывоз снега, уборка кровли</t>
  </si>
  <si>
    <t>Дератизация</t>
  </si>
  <si>
    <t>Дератизация территории объекта</t>
  </si>
  <si>
    <t>Дезинсекция</t>
  </si>
  <si>
    <t>Обследование объекта на заселенность членистоногими</t>
  </si>
  <si>
    <t>Обследование объекта на заселенность грызунами</t>
  </si>
  <si>
    <t>Услуги прачечной</t>
  </si>
  <si>
    <t>Камерная обработка вещей</t>
  </si>
  <si>
    <t>Ремонт учебного оборудования</t>
  </si>
  <si>
    <t>Ремонт прочего оборудования (снегоуборочные машины и т.п.)</t>
  </si>
  <si>
    <t>Техническое обслуживание АПС</t>
  </si>
  <si>
    <t>Техническое обслуживание КТС</t>
  </si>
  <si>
    <t>Техническое обслуживание БОПИ</t>
  </si>
  <si>
    <t>Перезарядка огнетушителей</t>
  </si>
  <si>
    <t>Огнезащитная обработка деревянных конструкций</t>
  </si>
  <si>
    <t>Испытание пожарных кранов, рукавов, устройств защитного заземления</t>
  </si>
  <si>
    <t>Ремонт компьютеров, оргтехники</t>
  </si>
  <si>
    <t>Услуги заправки тонера</t>
  </si>
  <si>
    <t>Техобслуживание и обеспечение функционирования сетей наружного освещения</t>
  </si>
  <si>
    <t>Ремонт и обслуживание системы видеонаблюдения</t>
  </si>
  <si>
    <t>Техобслуживание внутренних систем отопления</t>
  </si>
  <si>
    <t>Техобслуживание внутренних систем холодного и горячего водоснабжения, водоотведения</t>
  </si>
  <si>
    <t>Эксплуатация и техническое обслуживание электроустановки здания</t>
  </si>
  <si>
    <t>Техническое обслуживание электрических сетей</t>
  </si>
  <si>
    <t>Долевое участие в ТСЖ</t>
  </si>
  <si>
    <t>Обслуживание домофона, видеодомофона</t>
  </si>
  <si>
    <t>Проведение бактериологических исследований воздуха в помещениях</t>
  </si>
  <si>
    <t>Исследование пищи, воды бутилированной</t>
  </si>
  <si>
    <t>Поверка и ремонт весо-измерительных приборов (весов, манометров, водомеров и т.д.)</t>
  </si>
  <si>
    <t>Замеры электрооборудования</t>
  </si>
  <si>
    <t>Поверка диэлектрических средств</t>
  </si>
  <si>
    <t>Услуги по промывке и опрессовке бойлера</t>
  </si>
  <si>
    <t>Поверка оборудования узла учета тепловой энергии</t>
  </si>
  <si>
    <t>Диагностика шлагбаума</t>
  </si>
  <si>
    <t>Техническое обслуживание наружных систем канализации</t>
  </si>
  <si>
    <t>Техобслуживание тепломех-го оборудования</t>
  </si>
  <si>
    <t>Техническое обслуживание системы автоматического регулирования теплоносителя</t>
  </si>
  <si>
    <t>Техническое обслуживание узла учета тепловой энергии с системой диспетчеризации</t>
  </si>
  <si>
    <t>Прочие работы</t>
  </si>
  <si>
    <t>Вневедомственная охрана (тревожная кнопка)</t>
  </si>
  <si>
    <t>Обслуживание СБИС, СЭД, электронно-цифровой подписи</t>
  </si>
  <si>
    <t>Обслуживание программного обеспечения Кросс Д (дети)</t>
  </si>
  <si>
    <t>Приобретение прав на программное обеспечение</t>
  </si>
  <si>
    <t>Физкультурно-оздоровительные услуги</t>
  </si>
  <si>
    <t>Услуги тира по стрелковой подготовке детей</t>
  </si>
  <si>
    <t>Услуги по обеспечению правопорядка (физическая охрана)</t>
  </si>
  <si>
    <t>Спецоценка рабочих мест</t>
  </si>
  <si>
    <t>Курсы повышения квалификации,переподготовка, обучение сотрудников</t>
  </si>
  <si>
    <t>Медицинские осмотры сотрудников</t>
  </si>
  <si>
    <t>Сангигиеническое обучение</t>
  </si>
  <si>
    <t>Услуги по замерам освещенности, влажности воздуха</t>
  </si>
  <si>
    <t>Исследование питьевой воды, почвы</t>
  </si>
  <si>
    <t>Прочие услуги</t>
  </si>
  <si>
    <t>Оплата услуг по договорам приобретения проездных билетов и проживания для командированных</t>
  </si>
  <si>
    <t>Библиотечный фонд</t>
  </si>
  <si>
    <t>Компьютерная техника, оргтехника, периферийные устройства</t>
  </si>
  <si>
    <t>Проекторы, интерактивное оборудование, экраны</t>
  </si>
  <si>
    <t>Мебель</t>
  </si>
  <si>
    <t>Бытовая техника</t>
  </si>
  <si>
    <t>Аудио-видео аппаратура</t>
  </si>
  <si>
    <t>Противопожарное оборудование</t>
  </si>
  <si>
    <t>Хозяйственное оборудование, инструменты</t>
  </si>
  <si>
    <t>Прочие основные средства</t>
  </si>
  <si>
    <t>Лекарственные препараты и материалы, применяемые в медицинских целях</t>
  </si>
  <si>
    <t>Продукты питания, бутылированная вода</t>
  </si>
  <si>
    <t>Спецодежда и спецобувь</t>
  </si>
  <si>
    <t>Прочие оборотные запасы и материалы</t>
  </si>
  <si>
    <t>Источник финансового обеспечения: 04 - субсидия на финансовое обеспечение выполнения муниципального задания</t>
  </si>
  <si>
    <t>Штрафы Роспотребнадзор и т.п.</t>
  </si>
  <si>
    <t>Ставка взноса. процент</t>
  </si>
  <si>
    <t>Размер базы для начисления страховых взносов. руб.</t>
  </si>
  <si>
    <t>Объем планируемых выплат. руб.</t>
  </si>
  <si>
    <t>Страховые взносы в Пенсионный фонд Российской Федерации. всего</t>
  </si>
  <si>
    <t>По ставке 22.0%</t>
  </si>
  <si>
    <t>По ставке 10.0%</t>
  </si>
  <si>
    <t>Страховые взносы в Фонд социального страхования Российской Федерации. всего</t>
  </si>
  <si>
    <t>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</si>
  <si>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</si>
  <si>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</si>
  <si>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0._% *</t>
  </si>
  <si>
    <t>Страховые взносы в Федеральный фонд обязательного медицинского страхования. всего (по ставке 5.1%)</t>
  </si>
  <si>
    <t>Количество выплат в год. ед.</t>
  </si>
  <si>
    <t>Средний размер одной выплаты. руб.</t>
  </si>
  <si>
    <t>Выплаты компенсаций затрат родителей. организующих образование ребенка-инвалида на дому в форме семейного образования</t>
  </si>
  <si>
    <t>3. Обоснование (расчет) расходов на уплату налогов. сборов и иных платежей</t>
  </si>
  <si>
    <t>3.1. Обоснование (расчет) расходов на уплату налога на имущество организаций. земельного налога</t>
  </si>
  <si>
    <t>Налоговая база. руб.</t>
  </si>
  <si>
    <t>Ставка налога. процент</t>
  </si>
  <si>
    <t>3.2. Обоснование (расчет) расходов на уплату прочих налогов. сборов и иных платежей</t>
  </si>
  <si>
    <t>Размер платежа. руб.</t>
  </si>
  <si>
    <t>Количество платежей в год. ед.</t>
  </si>
  <si>
    <t>3.3. Обоснование (расчет) расходов на уплату штрафов. пеней и иных платежей</t>
  </si>
  <si>
    <t>4. Обоснование (расчет) прочих расходов (кроме расходов на закупку товаров. работ. услуг)</t>
  </si>
  <si>
    <t>шт.</t>
  </si>
  <si>
    <t>6 = 4 * 5</t>
  </si>
  <si>
    <t>9 = 7 * 8</t>
  </si>
  <si>
    <t>7 = 5 * 6</t>
  </si>
  <si>
    <t>10 =  * 9</t>
  </si>
  <si>
    <t>12 = 11 * 12</t>
  </si>
  <si>
    <t>Гкал</t>
  </si>
  <si>
    <t>кВт/ч</t>
  </si>
  <si>
    <t>куб. м.</t>
  </si>
  <si>
    <t>л.</t>
  </si>
  <si>
    <t xml:space="preserve">Источник финансового обеспечения: 05 - субсидии, предоставляемые в соответствии с абзацем вторым пункта 1 статьи 78.1 Бюджетного кодекса Российской </t>
  </si>
  <si>
    <t>Обоснования (расчеты) плановых показателей по расходам,
 использованные при формировании 
плана финансово-хозяйственной деятельности учреждения</t>
  </si>
  <si>
    <t>Штрафы. пени за несвоевременную уплату налогов. сборов. страховых взносов</t>
  </si>
  <si>
    <t>*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t>
  </si>
  <si>
    <t>Объем закупок, шт.</t>
  </si>
  <si>
    <t>Средняя стоимость  объекта, руб.</t>
  </si>
  <si>
    <t>2.1. Обоснование (расчет) доходов от оказания услуг, выполнения работ в рамках установленного муниципального задания</t>
  </si>
  <si>
    <t>2.2. Обоснование (расчет) доходов от оказания услуг, выполнения работ сверх установленного государственного задания</t>
  </si>
  <si>
    <t>ставим с минусом</t>
  </si>
  <si>
    <t>Внутризоновые соединения</t>
  </si>
  <si>
    <t>остаток на начало года</t>
  </si>
  <si>
    <t>возврат прошлых лет</t>
  </si>
  <si>
    <t>Штрафы. пени за нарушение законодательства Российской Федерации о закупках товаров. работ и услуг. а также штрафных санкций за нарушение условий контрактов (договоров) по поставке товаров. выполнению работ. оказанию услуг</t>
  </si>
  <si>
    <t>Компенсация выплаты по ставке рефинансирования за задержку заработной платы</t>
  </si>
  <si>
    <t>Питание детей</t>
  </si>
  <si>
    <t>Спецодежда и спецобувь, мягкий инвентарь</t>
  </si>
  <si>
    <t>Подписка на периодические, электронные издания</t>
  </si>
  <si>
    <t>Спортивное оборудование, снаряжение</t>
  </si>
  <si>
    <t xml:space="preserve">               увеличение стоимости права пользования</t>
  </si>
  <si>
    <t>247</t>
  </si>
  <si>
    <t>Водоснабжение</t>
  </si>
  <si>
    <t>увеличение стоимости права пользования</t>
  </si>
  <si>
    <t>для  учреждений</t>
  </si>
  <si>
    <t>социальное пособие на погребение</t>
  </si>
  <si>
    <t>уход за детьми-инвалидами</t>
  </si>
  <si>
    <t>Персонифицированное финансирование дополнительного образования (ПФДО)</t>
  </si>
  <si>
    <t>Постановление по суду (взыскание по исковому заявлению) неустойка</t>
  </si>
  <si>
    <t>Постановление по суду (взыскание по исковому заявлению) судебные расходы</t>
  </si>
  <si>
    <t>доходы от компенсации затрат</t>
  </si>
  <si>
    <t>1230</t>
  </si>
  <si>
    <t>134</t>
  </si>
  <si>
    <t>компенсация ФСС затрат на предупредительные мероприятия по охране труда</t>
  </si>
  <si>
    <t>1240</t>
  </si>
  <si>
    <t>поступления текущего характера бюджетным и автономным учреждениям от организаций государственного сектора</t>
  </si>
  <si>
    <t>2143</t>
  </si>
  <si>
    <t>пособие на погребение</t>
  </si>
  <si>
    <t>2144</t>
  </si>
  <si>
    <t>2024 год</t>
  </si>
  <si>
    <t>2024г.</t>
  </si>
  <si>
    <t>доходы от возмещений Фондом социального страхования Российской Федерации расходов</t>
  </si>
  <si>
    <t>1250</t>
  </si>
  <si>
    <t>1430</t>
  </si>
  <si>
    <t>1440</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</si>
  <si>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</si>
  <si>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</si>
  <si>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</si>
  <si>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</si>
  <si>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</si>
  <si>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</si>
  <si>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</si>
  <si>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некоммерчиским организациям (за исключением бюджетных и автономных учреждений)</t>
  </si>
  <si>
    <t>634</t>
  </si>
  <si>
    <t>гранты, предоставляемые другим организациям и физическим лицам</t>
  </si>
  <si>
    <t>2440</t>
  </si>
  <si>
    <t>2450</t>
  </si>
  <si>
    <t>2460</t>
  </si>
  <si>
    <t>в том числе:
закупку научно-исследовательских,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</si>
  <si>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</si>
  <si>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14561В</t>
  </si>
  <si>
    <t>14561Т</t>
  </si>
  <si>
    <t>14561Э</t>
  </si>
  <si>
    <t>Теплоэнергия</t>
  </si>
  <si>
    <t>Электроэнергия</t>
  </si>
  <si>
    <t>Охрана</t>
  </si>
  <si>
    <t>ОВО, тревожная кнопка</t>
  </si>
  <si>
    <t>Обслуживание тревожной кнопки</t>
  </si>
  <si>
    <t>Обслуживание видеонаблюдения</t>
  </si>
  <si>
    <t>Обслуживание наружного освещения</t>
  </si>
  <si>
    <t>Обслуживание АПС</t>
  </si>
  <si>
    <t>Аренда тепловизора</t>
  </si>
  <si>
    <t>Обслуживание домофона</t>
  </si>
  <si>
    <r>
      <rPr>
        <vertAlign val="superscript"/>
        <sz val="10"/>
        <rFont val="Times New Roman"/>
        <family val="1"/>
        <charset val="204"/>
      </rPr>
      <t>10</t>
    </r>
    <r>
      <rPr>
        <sz val="10"/>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</si>
  <si>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10"/>
        <rFont val="Times New Roman"/>
        <family val="1"/>
        <charset val="204"/>
      </rPr>
      <t>10.2</t>
    </r>
    <r>
      <rPr>
        <sz val="10"/>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</si>
  <si>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rPr>
        <vertAlign val="superscript"/>
        <sz val="10"/>
        <rFont val="Times New Roman"/>
        <family val="1"/>
        <charset val="204"/>
      </rPr>
      <t>11</t>
    </r>
    <r>
      <rPr>
        <sz val="10"/>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закупки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</si>
  <si>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 xml:space="preserve">Код по бюджетной классификации Российской Федерации </t>
    </r>
    <r>
      <rPr>
        <vertAlign val="superscript"/>
        <sz val="11"/>
        <rFont val="Times New Roman"/>
        <family val="1"/>
        <charset val="204"/>
      </rPr>
      <t>10.1</t>
    </r>
  </si>
  <si>
    <r>
      <t>Уникальный код</t>
    </r>
    <r>
      <rPr>
        <vertAlign val="superscript"/>
        <sz val="12"/>
        <rFont val="Times New Roman"/>
        <family val="1"/>
        <charset val="204"/>
      </rPr>
      <t>10.2</t>
    </r>
  </si>
  <si>
    <t>4.1</t>
  </si>
  <si>
    <t>4.2</t>
  </si>
  <si>
    <t>1.3.1</t>
  </si>
  <si>
    <t>26310</t>
  </si>
  <si>
    <r>
      <t xml:space="preserve">из них </t>
    </r>
    <r>
      <rPr>
        <vertAlign val="superscript"/>
        <sz val="12"/>
        <rFont val="Times New Roman"/>
        <family val="1"/>
        <charset val="204"/>
      </rPr>
      <t>10.1</t>
    </r>
    <r>
      <rPr>
        <sz val="12"/>
        <rFont val="Times New Roman"/>
        <family val="1"/>
        <charset val="204"/>
      </rPr>
      <t>:</t>
    </r>
  </si>
  <si>
    <t>26310.1</t>
  </si>
  <si>
    <r>
      <t xml:space="preserve">из них </t>
    </r>
    <r>
      <rPr>
        <vertAlign val="superscript"/>
        <sz val="12"/>
        <rFont val="Times New Roman"/>
        <family val="1"/>
        <charset val="204"/>
      </rPr>
      <t>10.2</t>
    </r>
    <r>
      <rPr>
        <sz val="12"/>
        <rFont val="Times New Roman"/>
        <family val="1"/>
        <charset val="204"/>
      </rPr>
      <t>:</t>
    </r>
  </si>
  <si>
    <t>26310.2</t>
  </si>
  <si>
    <t>1.3.2</t>
  </si>
  <si>
    <t>в соответствии с Федеральным законом №223-ФЗ</t>
  </si>
  <si>
    <t>26430.1</t>
  </si>
  <si>
    <t>26430.2</t>
  </si>
  <si>
    <t>26451.1</t>
  </si>
  <si>
    <t>26451.2</t>
  </si>
  <si>
    <t>246</t>
  </si>
  <si>
    <t>закупку энергетических ресурсов</t>
  </si>
  <si>
    <t>2660</t>
  </si>
  <si>
    <t>капитальные вложения в объекты государственой (муниципальной) собственности, всего</t>
  </si>
  <si>
    <t>2700</t>
  </si>
  <si>
    <t>в том числе:
приобретение объектов недвижимого имущества государственными (муниципальными) учреждениями</t>
  </si>
  <si>
    <t>2710</t>
  </si>
  <si>
    <t>строительство (реконструкция) объектов недвижимого имущества государственными (муниципальными) учреждениями</t>
  </si>
  <si>
    <t>2720</t>
  </si>
  <si>
    <t>2-ВНЕБЮДЖЕТ коммунальные</t>
  </si>
  <si>
    <t>2-авт и внебюджет кроме коммунальных</t>
  </si>
  <si>
    <t>Доходы от компенсации затрат</t>
  </si>
  <si>
    <t>Доходы от возмещений Фондом социального страхования Российской Федерации расходов</t>
  </si>
  <si>
    <t>НЕ ЗАПОЛНЯЕТСЯ</t>
  </si>
  <si>
    <t>134 например, удерж из з.п. обучение или труд кн</t>
  </si>
  <si>
    <t>135 возмещение коммунальных услуг</t>
  </si>
  <si>
    <t>139 компенсация ФСС затрат на предупредительные мероприятия по охране труда</t>
  </si>
  <si>
    <t>5.1</t>
  </si>
  <si>
    <t>1.5.3 Обоснование (расчет) иных выплат работникам учреждений</t>
  </si>
  <si>
    <t>закупку товаров, работ, услуг в целях создания, развития, эксплуатации и вывода из эксплуатации государственных информационных систем</t>
  </si>
  <si>
    <t>26421.1</t>
  </si>
  <si>
    <t>323</t>
  </si>
  <si>
    <t>263</t>
  </si>
  <si>
    <r>
      <rPr>
        <vertAlign val="superscript"/>
        <sz val="10"/>
        <rFont val="Times New Roman"/>
        <family val="1"/>
        <charset val="204"/>
      </rPr>
      <t>7</t>
    </r>
    <r>
      <rPr>
        <sz val="10"/>
        <rFont val="Times New Roman"/>
        <family val="1"/>
        <charset val="204"/>
      </rPr>
      <t>_Показатели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</si>
  <si>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26320</t>
  </si>
  <si>
    <t>приобретение товаров, работ, услуг в пользу граждан в целях их социального обеспечения</t>
  </si>
  <si>
    <t>2214</t>
  </si>
  <si>
    <t>СКРЫТЬ</t>
  </si>
  <si>
    <t>2212</t>
  </si>
  <si>
    <t>2213</t>
  </si>
  <si>
    <r>
      <rPr>
        <vertAlign val="superscript"/>
        <sz val="10"/>
        <rFont val="Times New Roman"/>
        <family val="1"/>
        <charset val="204"/>
      </rPr>
      <t>4</t>
    </r>
    <r>
      <rPr>
        <sz val="10"/>
        <rFont val="Times New Roman"/>
        <family val="1"/>
        <charset val="204"/>
      </rPr>
      <t xml:space="preserve">_В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29.11.2017 № 209н и (или) коды иных аналитических показателей в случае, если Порядком органа, осуществляющего функции и полномочия учредителя, предусмотрена указанная детализация </t>
    </r>
  </si>
  <si>
    <t>платные услуги, род плата, пит сотр, ПФДО</t>
  </si>
  <si>
    <t>223-ФЗ</t>
  </si>
  <si>
    <t>Налог</t>
  </si>
  <si>
    <t>44-ФЗ</t>
  </si>
  <si>
    <t>Медосмотры</t>
  </si>
  <si>
    <t>Техническое обслуживание и поверка  оборудования</t>
  </si>
  <si>
    <t>Услуги страхования для участия в спортивных мероприятиях</t>
  </si>
  <si>
    <t>ТО тепловизора</t>
  </si>
  <si>
    <t>Техобслуживание тепловизоров</t>
  </si>
  <si>
    <t>налог</t>
  </si>
  <si>
    <t>доходы</t>
  </si>
  <si>
    <t>Доходы от возмещения ущерба в соответствии с законодательством Российской Федерации</t>
  </si>
  <si>
    <t>Услуги по утилизации химических реактивов, компьютеров, ртутьсодержащих отходов, демеркуризация</t>
  </si>
  <si>
    <t>Обслуживание корта, спортплощадки</t>
  </si>
  <si>
    <t>24-54-11</t>
  </si>
  <si>
    <t>Замена окон</t>
  </si>
  <si>
    <t>Периодическая подписка</t>
  </si>
  <si>
    <t>Обслуживание программного обеспечения Кросс Д (дети, недвижимость)</t>
  </si>
  <si>
    <t xml:space="preserve">Вневедомственная охрана </t>
  </si>
  <si>
    <t>Услуга 3, Программы дополнительного образования детей социально-гуманитарной направленности</t>
  </si>
  <si>
    <t>Оплата услуг по договорам (дизайн, топограф)</t>
  </si>
  <si>
    <t>Ларина Татьяна Михайловна</t>
  </si>
  <si>
    <t>245</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</si>
  <si>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</si>
  <si>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специальные расходы</t>
  </si>
  <si>
    <t>2800</t>
  </si>
  <si>
    <t>880</t>
  </si>
  <si>
    <t>-по строкам 2000 - 2800 - коды видов расходов бюджетов классификации расходов бюджетов;</t>
  </si>
  <si>
    <t>Топографическая съёмка</t>
  </si>
  <si>
    <t xml:space="preserve">Оплата услуг по договорам </t>
  </si>
  <si>
    <r>
      <t xml:space="preserve">срок утверждения ПФХД
</t>
    </r>
    <r>
      <rPr>
        <sz val="14"/>
        <rFont val="Arial Cyr"/>
        <charset val="204"/>
      </rPr>
      <t>(приказ Комитета по образования АГМ от 24.12.2019 № 2619,
Приложение, пункт 4)</t>
    </r>
  </si>
  <si>
    <t>начало года</t>
  </si>
  <si>
    <t>10 рабочих дней</t>
  </si>
  <si>
    <t>при внесении изменений в бюджет</t>
  </si>
  <si>
    <t>15 рабочих дней</t>
  </si>
  <si>
    <t>квартальный</t>
  </si>
  <si>
    <t>до 31.12</t>
  </si>
  <si>
    <t>срок размещения ПФХД</t>
  </si>
  <si>
    <t>5 рабочих дней со дня утверждения</t>
  </si>
  <si>
    <t>дата утверждения</t>
  </si>
  <si>
    <t>дата справки</t>
  </si>
  <si>
    <t>2025 год</t>
  </si>
  <si>
    <t>2025г.</t>
  </si>
  <si>
    <t>Титульный</t>
  </si>
  <si>
    <t>План ФХД</t>
  </si>
  <si>
    <t>Расходы</t>
  </si>
  <si>
    <t>расходы</t>
  </si>
  <si>
    <t>возврат в бюджет</t>
  </si>
  <si>
    <t>проверка 
(должны быть нули)</t>
  </si>
  <si>
    <t>внебюджет</t>
  </si>
  <si>
    <t>условное форматирование</t>
  </si>
  <si>
    <t>КФО</t>
  </si>
  <si>
    <t>КЦ</t>
  </si>
  <si>
    <t>КОСГУ</t>
  </si>
  <si>
    <t>текст</t>
  </si>
  <si>
    <t>2 025</t>
  </si>
  <si>
    <t>КВР</t>
  </si>
  <si>
    <t>Техническое обслуживание узла учета тепловой энергии с системой диспетчеризации, системы автоматического регулирования теплоносителя</t>
  </si>
  <si>
    <t>.</t>
  </si>
  <si>
    <t>..</t>
  </si>
  <si>
    <t>Субсидии на осуществление капитальных вложений</t>
  </si>
  <si>
    <t>ср. числ.</t>
  </si>
  <si>
    <t>категория персонала</t>
  </si>
  <si>
    <t>сумма контрактов, заключенных до начала года</t>
  </si>
  <si>
    <t>для расчёта заработной платы, вкладка "Расходы 111"</t>
  </si>
  <si>
    <t>Доходы</t>
  </si>
  <si>
    <t>расходы КФО 5</t>
  </si>
  <si>
    <t>расходы КФО 4</t>
  </si>
  <si>
    <t>расходы КФО 2</t>
  </si>
  <si>
    <t>доходы, все КФО</t>
  </si>
  <si>
    <t>разница (должны быть нули)</t>
  </si>
  <si>
    <t>32</t>
  </si>
  <si>
    <t>33</t>
  </si>
  <si>
    <t>34</t>
  </si>
  <si>
    <t>Столбец1</t>
  </si>
  <si>
    <t>Столбец2</t>
  </si>
  <si>
    <t>Столбец3</t>
  </si>
  <si>
    <t>Столбец4</t>
  </si>
  <si>
    <t>Столбец5</t>
  </si>
  <si>
    <t>Столбец6</t>
  </si>
  <si>
    <t>Столбец7</t>
  </si>
  <si>
    <t>Столбец8</t>
  </si>
  <si>
    <t>Столбец9</t>
  </si>
  <si>
    <t>скрыть</t>
  </si>
  <si>
    <t>Ввзыскание по исковому заявлению (по суду) неустойка</t>
  </si>
  <si>
    <t>Ввзыскание по исковому заявлению (по суду)</t>
  </si>
  <si>
    <t>Ввзыскание по исковому заявлению (по суду) судебные расходы</t>
  </si>
  <si>
    <t>Компенсации родителям за обучение на дому детей-инвалидов</t>
  </si>
  <si>
    <t>Выходное пособие при расторжении трудового договора</t>
  </si>
  <si>
    <t>Возмещение сопровождающему на проезд учащихся</t>
  </si>
  <si>
    <t>Удержание из з/п сотрудника школы</t>
  </si>
  <si>
    <t>Коммунальные расходы</t>
  </si>
  <si>
    <t>Доходы от возмещений Фондом социального страхования РФ</t>
  </si>
  <si>
    <t>возврат прошл. лет 510</t>
  </si>
  <si>
    <t>возврат в бюджет 610</t>
  </si>
  <si>
    <t>Организация отдыха и оздоровления обучающихся и воспитанников системы образования города Мурманска</t>
  </si>
  <si>
    <t>Организация временного трудоустройства несовершеннолетних граждан в муниципальные образовательные организации города Мурманска за счет средств местного бюджета</t>
  </si>
  <si>
    <t>Организация временного трудоустройства несовершеннолетних граждан в муниципальные образовательные организации города Мурманска за счет средств областного бюджета</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</si>
  <si>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</si>
  <si>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Затраты, связанные с реализацией проекта по обеспечению персонифицированного финансирования дополнительного образования детей</t>
  </si>
  <si>
    <t>Приобретение технологического оборудования в муниципальных образовательных учреждениях и учреждениях образования</t>
  </si>
  <si>
    <t>Организация проведения и награждение победителей и участников конкурсов профессионального мастерства педагогов</t>
  </si>
  <si>
    <t>Организация проведения и награждение победителей и участников конкурса шоу- программ образовательных организаций "Весенние фантазии"</t>
  </si>
  <si>
    <t>Организация проведения городского праздника выпускников общеобразовательных учреждений "Последний звонок"</t>
  </si>
  <si>
    <t>Организация проведения и награждение победителей и участников конкурса общегородского значения "День призывника"</t>
  </si>
  <si>
    <t>Организация проведения и награждения победителей и участников прочих городских конкурсов общегородского значения</t>
  </si>
  <si>
    <t xml:space="preserve">Организация проведения Новогодних и Рождественских мероприятий подведомственными учреждениями </t>
  </si>
  <si>
    <t>Создание условий для поддержки обучающихся, имеющих повышенные образовательные и творческие способности</t>
  </si>
  <si>
    <t>Приобретение мебели и оборудования для обеденных и актовых залов</t>
  </si>
  <si>
    <t xml:space="preserve">Оснащение помещений медицинского назначения образовательных учреждений </t>
  </si>
  <si>
    <t>Приобретение автотранспортных средств образовательными организациями и учреждениями образования</t>
  </si>
  <si>
    <t>Обслуживание школьных стадионов, спортивных площадок, кортов, расположенных на территориях общеобразовательных организаций</t>
  </si>
  <si>
    <t>Устройство и модернизация школьных стадионов, спортивных площадок, кортов, детских спортивно-игровых площадок, расположенных на территориях общеобразовательных учреждений</t>
  </si>
  <si>
    <t>Мероприятия по преобразованию пространств образовательных организаций в рамках проекта"Arctic schools"</t>
  </si>
  <si>
    <t>Общестроительные работы (ремонт кровли, систем освещения и электроснабжения, отопления, вентиляции, водоснабжения, канализации, дренажной системы, оборудование запасных эвакуационных выходов, ремонт полов, туалетов с установкой сантехоборудования душевых, крылец, отмостков, коридоров, асфальтирование, восстановление ограждения, противопожарные мероприятия  и пр.)</t>
  </si>
  <si>
    <t>Замена оконных блоков в образовательных учреждениях в рамках реализации программы "Теплое окно"</t>
  </si>
  <si>
    <t>Разработка проектно-сметной документации и осуществление ремонта фасада зданий образовательных учреждений и учреждений образования</t>
  </si>
  <si>
    <t>Выполнение работ по улучшению технических характеристик инженерных сетей с последующим проведением ремонта помещений</t>
  </si>
  <si>
    <t>Установка систем видеонаблюдения в образовательных учреждениях и учреждениях образования</t>
  </si>
  <si>
    <t>Обеспечение антитеррористической защищенности объектов образования</t>
  </si>
  <si>
    <t>Осуществление текущего ремонта в учреждениях дополнительного образования</t>
  </si>
  <si>
    <t>Проведение мероприятий по исполнению судебных решений</t>
  </si>
  <si>
    <t>Проведение ремонтных работ по ликвидации аварийных ситуаций и замена оборудования, находящегося в аварийном состоянии, в подведомственных учреждениях</t>
  </si>
  <si>
    <t>Проведение демонтажных работ в образовательных учреждениях и учреждениях образования города Мурманска</t>
  </si>
  <si>
    <t>Создание безбарьерной среды для обучающихся с ограниченными возможностями здоровья в образовательных учреждениях</t>
  </si>
  <si>
    <t>Проведение текущего ремонта помещений и оснащение материально-технической базы МБОУ г. Мурманска СОШ № 1</t>
  </si>
  <si>
    <t>Осуществление технологического присоединения к электрическим сетям образовательных учреждений и учреждений образования города Мурманска</t>
  </si>
  <si>
    <t>Расходы на обеспечение деятельности детского сада на 80 мест в районе дома 44 по улице Капитана Орликовой</t>
  </si>
  <si>
    <t>Реализация мероприятий по обеспечению комплексной безопасности и ресурсное обеспечение организаций системы образования</t>
  </si>
  <si>
    <t>Проведение инженерно-изыскательских работ, разработка проектно-сметной документации, проведение подготовительных работ при осуществлении установки "умной" спортивной площадки</t>
  </si>
  <si>
    <t>Создание условий для функционирования в муниципальных образованиях Комнаты ВВПОД "ЮНАРМИЯ"</t>
  </si>
  <si>
    <t>Приобретение оборудования и предметов длительного пользования для образовательных организаций на укрепление и обновление материально-технической базы</t>
  </si>
  <si>
    <t>Обеспечение бесплатным цельным молоком либо питьевым молоком обучающихся 1 - 4 классов общеобразовательных организаций</t>
  </si>
  <si>
    <t>Организация бесплатного горячего питания обучающихся, получающих начальное общее образование в муниципальных образовательных организациях</t>
  </si>
  <si>
    <t>Выплата денежной компенсации взамен бесплатного питания обучающимся, получающим образование на дому</t>
  </si>
  <si>
    <t>Выплаты выходного пособия при расторжении трудового договора, а также выплаты уволенным работникам среднемесячного заработка на период трудоустройства, в случае их увольнения в связи с ликвидацией учреждений, иными организационно-штатными мероприятиями, приводящими к сокращению численности или штата</t>
  </si>
  <si>
    <t>Меры социальной поддержки педагогическим работникам в части выплат единовременного пособия</t>
  </si>
  <si>
    <t>Расходы, обеспечивающие сохранения права на меры социальной поддержки отдельных категорий граждан в связи с упразднением поселка городского типа Росляково</t>
  </si>
  <si>
    <t>Обеспечение выплат ежемесячного денежного вознаграждения за классное руководство за счет средств областного бюджета</t>
  </si>
  <si>
    <t>Обеспечение выплат в муниципальных общеобразовательных организациях за счет средств иных межбюджетных трансфертов из областного бюджета местным бюджетам, предоставляемых на обеспечение выплат педагогическим работникам муниципальных общеобразовательных организаций Мурманской области, реализующих программы начального общего, основного общего, среднего общего образования, в том числе адаптированные основные общеобразовательные программы, за выполнение функций руководителя школьного спортивного клуба</t>
  </si>
  <si>
    <t>Компенсация расходов работнику при переезде к новому постоянному месту жительства, в связи с прекращением трудового договора и выезда из районов Крайнего Севера</t>
  </si>
  <si>
    <t>Организация и проведение профилактических акций, мероприятий среди учащихся общеобразовательных учреждений, семинаров, круглых столов, способствующих предупреждению правонарушений и наркомании несовершеннолетних</t>
  </si>
  <si>
    <t>Оборудование кабинетов по изучению правил дорожного движения, и учебно-игровых площадок</t>
  </si>
  <si>
    <t>Организация работы с детьми и молодежью по профилактике правонарушений, экстремизма, терроризма, межнациональных (межэтнических) конфликтов в городе Мурманске</t>
  </si>
  <si>
    <t>Расходы на содержание неиспользуемого имущества, для оказания муниципальных услуг выполнения работ)</t>
  </si>
  <si>
    <t>Проведение текущего ремонта помещений и технологического присоединения к электрическим сетям МБОУ г. Мурманска СОШ № 1</t>
  </si>
  <si>
    <t>Улучшение технических характеристик систем теплоснабжения, водоснабжения и водоотведения с последующим проведением ремонта помещений</t>
  </si>
  <si>
    <t>23-53030-00000-00000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</si>
  <si>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</si>
  <si>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23-53040-00000-00000</t>
  </si>
  <si>
    <t>Субсидии на организацию бесплатного горячего питания обучающихся, получающих начальное общее образование в государственньос и муниципальных образовательных организациях</t>
  </si>
  <si>
    <t>наименование</t>
  </si>
  <si>
    <t>22-53030-00000-00000</t>
  </si>
  <si>
    <t>22-53040-00000-00000</t>
  </si>
  <si>
    <t>2022</t>
  </si>
  <si>
    <t>Оздоровительные мероприятия</t>
  </si>
  <si>
    <t>Доходы от реализации активов</t>
  </si>
  <si>
    <t>Гранты не от организаций государственного сектора</t>
  </si>
  <si>
    <t>Питание сотрудников</t>
  </si>
  <si>
    <t>Питание школьников</t>
  </si>
  <si>
    <t>ПФДО оздоровительные</t>
  </si>
  <si>
    <t>ПФДО платные услуги родителей</t>
  </si>
  <si>
    <t>ПФДО сертификаты</t>
  </si>
  <si>
    <t>Родительская плата</t>
  </si>
  <si>
    <t>КФО 5</t>
  </si>
  <si>
    <t>КФО 2</t>
  </si>
  <si>
    <t>Основные средства</t>
  </si>
  <si>
    <t>Прочие расходы</t>
  </si>
  <si>
    <t>4-бюдж (за искл договов, заключ в 2022 г)</t>
  </si>
  <si>
    <t>4-авт (за искл договов, заключ в 2022 г)</t>
  </si>
  <si>
    <t>скрытые строки</t>
  </si>
  <si>
    <t>отрицат. суммы</t>
  </si>
  <si>
    <t>получателей пособия до 1.5 лет</t>
  </si>
  <si>
    <t>Пожертвования от организаций государственного сектора</t>
  </si>
  <si>
    <t>Добровольные пожертвования</t>
  </si>
  <si>
    <t>уход за детьми-инвалидами, социальные взносы</t>
  </si>
  <si>
    <t>уход за детьми-инвалидами, пособие, дополнительный отпуск</t>
  </si>
  <si>
    <t>!!!!</t>
  </si>
  <si>
    <t>Транспортный налог</t>
  </si>
  <si>
    <t>Теплоснабжение, возмещение, допы</t>
  </si>
  <si>
    <t>Электроснабжение, возмещение, допы</t>
  </si>
  <si>
    <t>5656'2'!F79</t>
  </si>
  <si>
    <t>5656'2'!G79</t>
  </si>
  <si>
    <t>5656'2'!H79</t>
  </si>
  <si>
    <t>5656Титульный!O18+Титульный!O19+Титульный!O20</t>
  </si>
  <si>
    <t>5656Титульный!P18+Титульный!P19+Титульный!P20</t>
  </si>
  <si>
    <t>5656Титульный!Q18+Титульный!Q19+Титульный!Q20</t>
  </si>
  <si>
    <t>5656Титульный!O19+Титульный!O18+Титульный!O20</t>
  </si>
  <si>
    <t>5656Титульный!P19+Титульный!P18+Титульный!P20</t>
  </si>
  <si>
    <t>5656Титульный!Q19+Титульный!Q18+Титульный!Q20</t>
  </si>
  <si>
    <t>5656H16+H19+H23+H26+H29</t>
  </si>
  <si>
    <t>5656I16+I19+I23+I26+I29</t>
  </si>
  <si>
    <t>5656J16+J19+J23+J26+J29</t>
  </si>
  <si>
    <t>5656СУММ(H17:H18)</t>
  </si>
  <si>
    <t>5656СУММ(I17:I18)</t>
  </si>
  <si>
    <t>5656СУММ(J17:J18)</t>
  </si>
  <si>
    <t>5656СУММЕСЛИМН(Титульный!O69:O278;Титульный!K69:K278;'3-1'!AA17;Титульный!L69:L278;'3-1'!AB17)
+СУММЕСЛИМН(Титульный!O69:O278;Титульный!K69:K278;'3-1'!AA17;Титульный!L69:L278;'3-1'!AC17)
+СУММЕСЛИМН(Титульный!O69:O278;Титульный!K69:K278;'3-1'!AA17;Титульный!L69:L278;'3-1'!AD17)
-Титульный!O19</t>
  </si>
  <si>
    <t>5656СУММЕСЛИМН(Титульный!P69:P278;Титульный!K69:K278;'3-1'!AA17;Титульный!L69:L278;'3-1'!AB17)
+СУММЕСЛИМН(Титульный!P69:P278;Титульный!K69:K278;'3-1'!AA17;Титульный!L69:L278;'3-1'!AC17)
+СУММЕСЛИМН(Титульный!P69:P278;Титульный!K69:K278;'3-1'!AA17;Титульный!L69:L278;'3-1'!AD17)
-Титульный!P19</t>
  </si>
  <si>
    <t>5656СУММЕСЛИМН(Титульный!Q69:Q278;Титульный!K69:K278;'3-1'!AA17;Титульный!L69:L278;'3-1'!AB17)
+СУММЕСЛИМН(Титульный!Q69:Q278;Титульный!K69:K278;'3-1'!AA17;Титульный!L69:L278;'3-1'!AC17)
+СУММЕСЛИМН(Титульный!Q69:Q278;Титульный!K69:K278;'3-1'!AA17;Титульный!L69:L278;'3-1'!AD17)
-Титульный!Q19</t>
  </si>
  <si>
    <t>5656СУММ(H20:H22)</t>
  </si>
  <si>
    <t>5656СУММ(I20:I22)</t>
  </si>
  <si>
    <t>5656СУММ(J20:J22)</t>
  </si>
  <si>
    <t>5656СУММЕСЛИМН(Титульный!O69:O278;Титульный!K69:K278;'3-1'!AA20;Титульный!L69:L278;'3-1'!AB20)
+СУММЕСЛИМН(Титульный!O69:O278;Титульный!K69:K278;'3-1'!AA20;Титульный!L69:L278;'3-1'!AC20)
+СУММЕСЛИМН(Титульный!O69:O278;Титульный!K69:K278;'3-1'!AA20;Титульный!L69:L278;'3-1'!AD20)
-Титульный!O20</t>
  </si>
  <si>
    <t>5656СУММЕСЛИМН(Титульный!P69:P278;Титульный!K69:K278;'3-1'!AA20;Титульный!L69:L278;'3-1'!AB20)
+СУММЕСЛИМН(Титульный!P72:P281;Титульный!K72:K281;'3-1'!AA20;Титульный!L72:L281;'3-1'!AC20)
+СУММЕСЛИМН(Титульный!P72:P281;Титульный!K72:K281;'3-1'!AA20;Титульный!L72:L281;'3-1'!AD20)
-Титульный!P20</t>
  </si>
  <si>
    <t>5656СУММЕСЛИМН(Титульный!Q69:Q278;Титульный!K69:K278;'3-1'!AA20;Титульный!L69:L278;'3-1'!AB20)
+СУММЕСЛИМН(Титульный!Q72:Q281;Титульный!K72:K281;'3-1'!AA20;Титульный!L72:L281;'3-1'!AC20)
+СУММЕСЛИМН(Титульный!Q72:Q281;Титульный!K72:K281;'3-1'!AA20;Титульный!L72:L281;'3-1'!AD20)
-Титульный!Q20</t>
  </si>
  <si>
    <t>5656СУММ(H24:H25)</t>
  </si>
  <si>
    <t>5656СУММ(I24:I25)</t>
  </si>
  <si>
    <t>5656СУММ(J24:J25)</t>
  </si>
  <si>
    <t>5656СУММ(H27:H28)</t>
  </si>
  <si>
    <t>5656СУММ(I27:I28)</t>
  </si>
  <si>
    <t>5656СУММ(J27:J28)</t>
  </si>
  <si>
    <t>5656H30+H33</t>
  </si>
  <si>
    <t>5656I30+I33</t>
  </si>
  <si>
    <t>5656J30+J33</t>
  </si>
  <si>
    <t>5656СУММЕСЛИМН(Титульный!O69:O278;Титульный!K69:K278;'3-1'!AA30;Титульный!L69:L278;'3-1'!AB30)
+СУММЕСЛИМН(Титульный!O69:O278;Титульный!K69:K278;'3-1'!AA30;Титульный!L69:L278;'3-1'!AC30)
+СУММЕСЛИМН(Титульный!O69:O278;Титульный!K69:K278;'3-1'!AA30;Титульный!L69:L278;'3-1'!AD30)
-Титульный!O18</t>
  </si>
  <si>
    <t>5656СУММЕСЛИМН(Титульный!P69:P278;Титульный!K69:K278;'3-1'!AA30;Титульный!L69:L278;'3-1'!AB30)
+СУММЕСЛИМН(Титульный!P82:P291;Титульный!K82:K291;'3-1'!AA30;Титульный!L82:L291;'3-1'!AC30)
+СУММЕСЛИМН(Титульный!P82:P291;Титульный!K82:K291;'3-1'!AA30;Титульный!L82:L291;'3-1'!AD30)
-Титульный!P18</t>
  </si>
  <si>
    <t>5656СУММЕСЛИМН(Титульный!Q69:Q278;Титульный!K69:K278;'3-1'!AA30;Титульный!L69:L278;'3-1'!AB30)
+СУММЕСЛИМН(Титульный!Q82:Q291;Титульный!K82:K291;'3-1'!AA30;Титульный!L82:L291;'3-1'!AC30)
+СУММЕСЛИМН(Титульный!Q82:Q291;Титульный!K82:K291;'3-1'!AA30;Титульный!L82:L291;'3-1'!AD30)
-Титульный!Q18</t>
  </si>
  <si>
    <t>5656Титульный!K19</t>
  </si>
  <si>
    <t>5656Титульный!L19</t>
  </si>
  <si>
    <t>5656Титульный!M19</t>
  </si>
  <si>
    <t>5656H17+H20+H27+H30</t>
  </si>
  <si>
    <t>5656I17+I20+I27+I30</t>
  </si>
  <si>
    <t>5656J17+J20+J27+J30</t>
  </si>
  <si>
    <t>5656H31+H22+H18</t>
  </si>
  <si>
    <t>5656H34</t>
  </si>
  <si>
    <t>5656I34-I36</t>
  </si>
  <si>
    <t>5656J34-J37</t>
  </si>
  <si>
    <t>5656H18+H22+H28+H33</t>
  </si>
  <si>
    <t>5656I18+I22+I28+I33</t>
  </si>
  <si>
    <t>5656J18+J22+J28+J33</t>
  </si>
  <si>
    <t>5656H39</t>
  </si>
  <si>
    <t>5656I39-I41</t>
  </si>
  <si>
    <t>5656J39-J42</t>
  </si>
  <si>
    <t>2026 год</t>
  </si>
  <si>
    <t>10.1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пределенного Указом Президента Российской Федерации от 07.05.2018 № 204 «О национальных целях и стратегических задачах развития Российской Федерации на период до 2026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закупки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</si>
  <si>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2026г.</t>
  </si>
  <si>
    <t>на 2026 год (на второй год планового периода)</t>
  </si>
  <si>
    <t>на 2026 год 
(на второй год планового периода)</t>
  </si>
  <si>
    <t>на 2025 год (на первый год планового периода)</t>
  </si>
  <si>
    <t>на 2025 год 
(на первый год планового периода)</t>
  </si>
  <si>
    <t>План финансово-хозяйственной деятельности на 2024 год</t>
  </si>
  <si>
    <t>(на 2024 год и плановый период 2025 и 2026 годов1)</t>
  </si>
  <si>
    <t>примечание 16 было в 2022, в 2024 убрали
на всякий случай оставил текст</t>
  </si>
  <si>
    <t>на 2024 год (на текущий финансовый год)</t>
  </si>
  <si>
    <t>на 2024 год 
(на текущий финансовый год)</t>
  </si>
  <si>
    <t>2024</t>
  </si>
  <si>
    <t>2 026</t>
  </si>
  <si>
    <t>Компенсация на оплату жилья</t>
  </si>
  <si>
    <t>Компенсация расходов на оплату жилых помещений</t>
  </si>
  <si>
    <t>473Ц4550</t>
  </si>
  <si>
    <t>лагерь</t>
  </si>
  <si>
    <t>Заместитель председателя комитета</t>
  </si>
  <si>
    <t>показать</t>
  </si>
  <si>
    <t>Ремонтные работы помещений (аркт.школа)</t>
  </si>
  <si>
    <t>2145</t>
  </si>
  <si>
    <t>медосмотры социальные взносы (иные выплаты 213)</t>
  </si>
  <si>
    <t>Воробьева Светлана Сергеевна</t>
  </si>
  <si>
    <t xml:space="preserve">Ремонтные работы помещений </t>
  </si>
  <si>
    <t>Приобретение прав на программное обеспечение, сопровождение</t>
  </si>
  <si>
    <t>Механизированная уборка и вывоз снега, уборка кровли, вывоз КГО</t>
  </si>
  <si>
    <t xml:space="preserve"> </t>
  </si>
  <si>
    <t>Проезд к месту отдыха, 3 оклада, социальные взносы (иные выплаты 213)</t>
  </si>
  <si>
    <t>Школьный образовательный туризм</t>
  </si>
  <si>
    <t>« _________ »________________________202___ г.</t>
  </si>
  <si>
    <t>2 027</t>
  </si>
  <si>
    <t>Санитарная обработка  контейнерной площадки</t>
  </si>
  <si>
    <r>
      <t>(на 2025 год и плановый период 2026 и 2027 годов</t>
    </r>
    <r>
      <rPr>
        <vertAlign val="superscript"/>
        <sz val="14"/>
        <rFont val="Times New Roman"/>
        <family val="1"/>
        <charset val="204"/>
      </rPr>
      <t>1</t>
    </r>
    <r>
      <rPr>
        <sz val="14"/>
        <rFont val="Times New Roman"/>
        <family val="1"/>
        <charset val="204"/>
      </rPr>
      <t>)</t>
    </r>
  </si>
  <si>
    <r>
      <t xml:space="preserve">от ____________________________________202___ г. </t>
    </r>
    <r>
      <rPr>
        <vertAlign val="superscript"/>
        <sz val="14"/>
        <rFont val="Times New Roman"/>
        <family val="1"/>
        <charset val="204"/>
      </rPr>
      <t>2</t>
    </r>
  </si>
  <si>
    <t>на 2025 год 
(на текущий финансовый год)</t>
  </si>
  <si>
    <t>на 2026 год 
(на первый год планового периода)</t>
  </si>
  <si>
    <t>на 2027 год 
(на второй год планового периода)</t>
  </si>
  <si>
    <t>на 2025 год (на текущий финансовый год)</t>
  </si>
  <si>
    <t>на 2026 год (на первый год планового периода)</t>
  </si>
  <si>
    <t>на 2027 год (на второй год планового периода)</t>
  </si>
  <si>
    <t>на 2025 год и плановый период 2026 и 2027 годов</t>
  </si>
  <si>
    <t>на 2026 год
 (на первый год планового периода)</t>
  </si>
  <si>
    <t>можно поставить одной суммой, пропорционально разобьется в расчетах</t>
  </si>
  <si>
    <t>сумма         тыс руб</t>
  </si>
  <si>
    <r>
      <t xml:space="preserve">муниципальное бюджетное общеобразовательное учреждение г. Мурманска </t>
    </r>
    <r>
      <rPr>
        <b/>
        <sz val="14"/>
        <rFont val="Times New Roman"/>
        <family val="1"/>
        <charset val="204"/>
      </rPr>
      <t>СОШ № 49</t>
    </r>
  </si>
  <si>
    <t>МБОУ г. Мурманска  СОШ № 49</t>
  </si>
  <si>
    <t>2027 год</t>
  </si>
  <si>
    <t>С.Ф. Мусатова</t>
  </si>
  <si>
    <t>В.Г. Андрианов</t>
  </si>
  <si>
    <t>Гранты от организаций государственного сектора АШ</t>
  </si>
  <si>
    <t>КОРТ и ГРАНТ АШ 2 690 000,00</t>
  </si>
</sst>
</file>

<file path=xl/styles.xml><?xml version="1.0" encoding="utf-8"?>
<styleSheet xmlns="http://schemas.openxmlformats.org/spreadsheetml/2006/main">
  <numFmts count="6">
    <numFmt numFmtId="164" formatCode="_-* #,##0.00&quot;р.&quot;_-;\-* #,##0.00&quot;р.&quot;_-;_-* &quot;-&quot;??&quot;р.&quot;_-;_-@_-"/>
    <numFmt numFmtId="165" formatCode="_-* #,##0.00_р_._-;\-* #,##0.00_р_._-;_-* &quot;-&quot;??_р_._-;_-@_-"/>
    <numFmt numFmtId="166" formatCode="[$-F800]dddd\,\ mmmm\ dd\,\ yyyy"/>
    <numFmt numFmtId="167" formatCode="#,##0.00_ ;[Red]\-#,##0.00\ "/>
    <numFmt numFmtId="168" formatCode="#,##0.00_ ;\-#,##0.00\ "/>
    <numFmt numFmtId="169" formatCode="#\ ##0"/>
  </numFmts>
  <fonts count="90">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vertAlign val="superscript"/>
      <sz val="8"/>
      <name val="Times New Roman"/>
      <family val="1"/>
      <charset val="204"/>
    </font>
    <font>
      <sz val="6"/>
      <name val="Times New Roman"/>
      <family val="1"/>
      <charset val="204"/>
    </font>
    <font>
      <b/>
      <vertAlign val="superscript"/>
      <sz val="8"/>
      <name val="Times New Roman"/>
      <family val="1"/>
      <charset val="204"/>
    </font>
    <font>
      <sz val="10"/>
      <name val="Times New Roman"/>
      <family val="1"/>
      <charset val="204"/>
    </font>
    <font>
      <sz val="11"/>
      <name val="Times New Roman"/>
      <family val="1"/>
      <charset val="204"/>
    </font>
    <font>
      <sz val="12"/>
      <name val="Times New Roman"/>
      <family val="1"/>
      <charset val="204"/>
    </font>
    <font>
      <b/>
      <sz val="12"/>
      <name val="Times New Roman"/>
      <family val="1"/>
      <charset val="204"/>
    </font>
    <font>
      <sz val="14"/>
      <name val="Times New Roman"/>
      <family val="1"/>
      <charset val="204"/>
    </font>
    <font>
      <sz val="14"/>
      <name val="Arial Cyr"/>
      <charset val="204"/>
    </font>
    <font>
      <b/>
      <sz val="14"/>
      <name val="Times New Roman"/>
      <family val="1"/>
      <charset val="204"/>
    </font>
    <font>
      <vertAlign val="superscript"/>
      <sz val="12"/>
      <name val="Times New Roman"/>
      <family val="1"/>
      <charset val="204"/>
    </font>
    <font>
      <b/>
      <vertAlign val="superscript"/>
      <sz val="12"/>
      <name val="Times New Roman"/>
      <family val="1"/>
      <charset val="204"/>
    </font>
    <font>
      <b/>
      <vertAlign val="superscript"/>
      <sz val="14"/>
      <name val="Times New Roman"/>
      <family val="1"/>
      <charset val="204"/>
    </font>
    <font>
      <sz val="14"/>
      <color theme="1"/>
      <name val="Times New Roman"/>
      <family val="1"/>
      <charset val="204"/>
    </font>
    <font>
      <sz val="12"/>
      <color theme="1"/>
      <name val="Times New Roman"/>
      <family val="1"/>
      <charset val="204"/>
    </font>
    <font>
      <b/>
      <sz val="14"/>
      <color theme="1"/>
      <name val="Times New Roman"/>
      <family val="1"/>
      <charset val="204"/>
    </font>
    <font>
      <b/>
      <sz val="12"/>
      <color theme="1"/>
      <name val="Times New Roman"/>
      <family val="1"/>
      <charset val="204"/>
    </font>
    <font>
      <sz val="8"/>
      <name val="Arial"/>
      <family val="2"/>
    </font>
    <font>
      <b/>
      <sz val="14"/>
      <color indexed="81"/>
      <name val="Tahoma"/>
      <family val="2"/>
      <charset val="204"/>
    </font>
    <font>
      <sz val="10"/>
      <color rgb="FF000000"/>
      <name val="Times New Roman"/>
      <family val="1"/>
      <charset val="204"/>
    </font>
    <font>
      <sz val="11"/>
      <color theme="1"/>
      <name val="Times New Roman"/>
      <family val="1"/>
      <charset val="204"/>
    </font>
    <font>
      <vertAlign val="superscript"/>
      <sz val="10"/>
      <name val="Times New Roman"/>
      <family val="1"/>
      <charset val="204"/>
    </font>
    <font>
      <sz val="8"/>
      <color rgb="FF000000"/>
      <name val="Arial"/>
      <family val="2"/>
      <charset val="204"/>
    </font>
    <font>
      <b/>
      <sz val="10"/>
      <name val="Times New Roman"/>
      <family val="1"/>
      <charset val="204"/>
    </font>
    <font>
      <sz val="10"/>
      <color rgb="FFFF0000"/>
      <name val="Times New Roman"/>
      <family val="1"/>
      <charset val="204"/>
    </font>
    <font>
      <sz val="9"/>
      <name val="Times New Roman"/>
      <family val="1"/>
      <charset val="204"/>
    </font>
    <font>
      <sz val="10"/>
      <name val="Arial"/>
      <family val="2"/>
      <charset val="204"/>
    </font>
    <font>
      <sz val="8"/>
      <name val="Times New Roman"/>
      <family val="1"/>
      <charset val="204"/>
    </font>
    <font>
      <sz val="10"/>
      <color rgb="FFFF0000"/>
      <name val="Arial"/>
      <family val="2"/>
      <charset val="204"/>
    </font>
    <font>
      <b/>
      <sz val="11"/>
      <name val="Times New Roman"/>
      <family val="1"/>
      <charset val="204"/>
    </font>
    <font>
      <b/>
      <sz val="18"/>
      <name val="Times New Roman"/>
      <family val="1"/>
      <charset val="204"/>
    </font>
    <font>
      <sz val="12"/>
      <name val="Arial Cyr"/>
      <charset val="204"/>
    </font>
    <font>
      <b/>
      <sz val="12"/>
      <name val="Arial Cyr"/>
      <charset val="204"/>
    </font>
    <font>
      <sz val="12"/>
      <name val="Arial"/>
      <family val="2"/>
      <charset val="204"/>
    </font>
    <font>
      <b/>
      <sz val="12"/>
      <name val="Arial"/>
      <family val="2"/>
      <charset val="204"/>
    </font>
    <font>
      <sz val="16"/>
      <name val="Times New Roman"/>
      <family val="1"/>
      <charset val="204"/>
    </font>
    <font>
      <sz val="16"/>
      <color rgb="FFFF0000"/>
      <name val="Times New Roman"/>
      <family val="1"/>
      <charset val="204"/>
    </font>
    <font>
      <b/>
      <sz val="14"/>
      <name val="Arial"/>
      <family val="2"/>
      <charset val="204"/>
    </font>
    <font>
      <b/>
      <sz val="16"/>
      <name val="Times New Roman"/>
      <family val="1"/>
      <charset val="204"/>
    </font>
    <font>
      <sz val="18"/>
      <name val="Times New Roman"/>
      <family val="1"/>
      <charset val="204"/>
    </font>
    <font>
      <vertAlign val="superscript"/>
      <sz val="11"/>
      <name val="Times New Roman"/>
      <family val="1"/>
      <charset val="204"/>
    </font>
    <font>
      <sz val="16"/>
      <color theme="1"/>
      <name val="Times New Roman"/>
      <family val="1"/>
      <charset val="204"/>
    </font>
    <font>
      <b/>
      <sz val="14"/>
      <name val="Arial Cyr"/>
      <charset val="204"/>
    </font>
    <font>
      <b/>
      <sz val="20"/>
      <color theme="5" tint="-0.499984740745262"/>
      <name val="Times New Roman"/>
      <family val="1"/>
      <charset val="204"/>
    </font>
    <font>
      <sz val="10"/>
      <color theme="1"/>
      <name val="Times New Roman"/>
      <family val="1"/>
      <charset val="204"/>
    </font>
    <font>
      <sz val="9"/>
      <color theme="1"/>
      <name val="Times New Roman"/>
      <family val="1"/>
      <charset val="204"/>
    </font>
    <font>
      <sz val="9"/>
      <name val="Arial Cyr"/>
      <charset val="204"/>
    </font>
    <font>
      <sz val="8"/>
      <color theme="1"/>
      <name val="Times New Roman"/>
      <family val="1"/>
      <charset val="204"/>
    </font>
    <font>
      <sz val="8"/>
      <name val="Arial Cyr"/>
      <charset val="204"/>
    </font>
    <font>
      <b/>
      <sz val="9"/>
      <name val="Times New Roman"/>
      <family val="1"/>
      <charset val="204"/>
    </font>
    <font>
      <sz val="12"/>
      <color rgb="FFFF0000"/>
      <name val="Times New Roman"/>
      <family val="1"/>
      <charset val="204"/>
    </font>
    <font>
      <b/>
      <sz val="12"/>
      <color rgb="FFFF0000"/>
      <name val="Times New Roman"/>
      <family val="1"/>
      <charset val="204"/>
    </font>
    <font>
      <b/>
      <sz val="18"/>
      <color theme="1"/>
      <name val="Times New Roman"/>
      <family val="1"/>
      <charset val="204"/>
    </font>
    <font>
      <sz val="11"/>
      <color rgb="FF006100"/>
      <name val="Calibri"/>
      <family val="2"/>
      <charset val="204"/>
      <scheme val="minor"/>
    </font>
    <font>
      <sz val="11"/>
      <color rgb="FF9C0006"/>
      <name val="Calibri"/>
      <family val="2"/>
      <charset val="204"/>
      <scheme val="minor"/>
    </font>
    <font>
      <sz val="12"/>
      <color theme="1"/>
      <name val="Times New Roman"/>
      <family val="1"/>
      <charset val="204"/>
    </font>
    <font>
      <b/>
      <sz val="16"/>
      <color theme="1"/>
      <name val="Times New Roman"/>
      <family val="1"/>
      <charset val="204"/>
    </font>
    <font>
      <b/>
      <sz val="11"/>
      <color theme="1"/>
      <name val="Calibri"/>
      <family val="2"/>
      <charset val="204"/>
      <scheme val="minor"/>
    </font>
    <font>
      <b/>
      <sz val="20"/>
      <color theme="1"/>
      <name val="Times New Roman"/>
      <family val="1"/>
      <charset val="204"/>
    </font>
    <font>
      <sz val="11"/>
      <color theme="0"/>
      <name val="Calibri"/>
      <family val="2"/>
      <charset val="204"/>
      <scheme val="minor"/>
    </font>
    <font>
      <u/>
      <sz val="10"/>
      <color theme="10"/>
      <name val="Arial Cyr"/>
      <charset val="204"/>
    </font>
    <font>
      <b/>
      <u/>
      <sz val="14"/>
      <name val="Times New Roman"/>
      <family val="1"/>
      <charset val="204"/>
    </font>
    <font>
      <sz val="14"/>
      <color theme="0"/>
      <name val="Times New Roman"/>
      <family val="1"/>
      <charset val="204"/>
    </font>
    <font>
      <sz val="11"/>
      <color theme="0"/>
      <name val="Times New Roman"/>
      <family val="1"/>
      <charset val="204"/>
    </font>
    <font>
      <sz val="12"/>
      <color theme="0"/>
      <name val="Times New Roman"/>
      <family val="1"/>
      <charset val="204"/>
    </font>
    <font>
      <sz val="12"/>
      <name val="Times New Roman"/>
      <family val="1"/>
      <charset val="204"/>
    </font>
    <font>
      <sz val="14"/>
      <name val="Times New Roman"/>
      <family val="1"/>
      <charset val="204"/>
    </font>
    <font>
      <sz val="14"/>
      <color theme="1"/>
      <name val="Times New Roman"/>
      <family val="1"/>
      <charset val="204"/>
    </font>
    <font>
      <sz val="12"/>
      <name val="Times New Roman"/>
      <family val="1"/>
      <charset val="204"/>
    </font>
    <font>
      <sz val="14"/>
      <name val="Times New Roman"/>
      <family val="1"/>
      <charset val="204"/>
    </font>
    <font>
      <sz val="14"/>
      <color theme="1"/>
      <name val="Times New Roman"/>
      <family val="1"/>
      <charset val="204"/>
    </font>
    <font>
      <vertAlign val="superscript"/>
      <sz val="14"/>
      <name val="Times New Roman"/>
      <family val="1"/>
      <charset val="204"/>
    </font>
    <font>
      <b/>
      <sz val="14"/>
      <color theme="1"/>
      <name val="Calibri"/>
      <family val="2"/>
      <charset val="204"/>
      <scheme val="minor"/>
    </font>
    <font>
      <b/>
      <sz val="20"/>
      <name val="Times New Roman"/>
      <family val="1"/>
      <charset val="204"/>
    </font>
    <font>
      <sz val="11"/>
      <color theme="1"/>
      <name val="Times New Roman"/>
      <family val="1"/>
      <charset val="204"/>
    </font>
    <font>
      <sz val="14"/>
      <name val="Times New Roman"/>
      <family val="1"/>
      <charset val="204"/>
    </font>
    <font>
      <sz val="14"/>
      <color theme="1"/>
      <name val="Times New Roman"/>
      <family val="1"/>
      <charset val="204"/>
    </font>
    <font>
      <sz val="12"/>
      <name val="Times New Roman"/>
      <family val="1"/>
      <charset val="204"/>
    </font>
    <font>
      <sz val="14"/>
      <color theme="1"/>
      <name val="Calibri"/>
      <family val="2"/>
      <charset val="204"/>
      <scheme val="minor"/>
    </font>
  </fonts>
  <fills count="21">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indexed="26"/>
        <bgColor indexed="27"/>
      </patternFill>
    </fill>
    <fill>
      <patternFill patternType="solid">
        <fgColor theme="6" tint="0.79998168889431442"/>
        <bgColor theme="6" tint="0.79998168889431442"/>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theme="5" tint="0.79998168889431442"/>
        <bgColor indexed="64"/>
      </patternFill>
    </fill>
  </fills>
  <borders count="20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hair">
        <color auto="1"/>
      </left>
      <right style="thin">
        <color auto="1"/>
      </right>
      <top style="hair">
        <color auto="1"/>
      </top>
      <bottom/>
      <diagonal/>
    </border>
    <border>
      <left style="thin">
        <color indexed="64"/>
      </left>
      <right style="thin">
        <color indexed="64"/>
      </right>
      <top/>
      <bottom style="hair">
        <color indexed="64"/>
      </bottom>
      <diagonal/>
    </border>
    <border>
      <left style="hair">
        <color auto="1"/>
      </left>
      <right style="thin">
        <color auto="1"/>
      </right>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thin">
        <color indexed="64"/>
      </bottom>
      <diagonal/>
    </border>
    <border>
      <left/>
      <right style="mediumDashDotDot">
        <color auto="1"/>
      </right>
      <top/>
      <bottom style="thin">
        <color indexed="64"/>
      </bottom>
      <diagonal/>
    </border>
    <border>
      <left style="mediumDashDotDot">
        <color auto="1"/>
      </left>
      <right/>
      <top style="thin">
        <color indexed="64"/>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style="mediumDashDotDot">
        <color auto="1"/>
      </right>
      <top style="thin">
        <color indexed="64"/>
      </top>
      <bottom/>
      <diagonal/>
    </border>
    <border>
      <left/>
      <right/>
      <top/>
      <bottom style="hair">
        <color auto="1"/>
      </bottom>
      <diagonal/>
    </border>
    <border>
      <left/>
      <right/>
      <top style="hair">
        <color indexed="64"/>
      </top>
      <bottom style="hair">
        <color indexed="64"/>
      </bottom>
      <diagonal/>
    </border>
    <border>
      <left/>
      <right/>
      <top style="hair">
        <color indexed="64"/>
      </top>
      <bottom/>
      <diagonal/>
    </border>
    <border>
      <left/>
      <right/>
      <top style="hair">
        <color auto="1"/>
      </top>
      <bottom style="thin">
        <color auto="1"/>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style="thin">
        <color auto="1"/>
      </left>
      <right/>
      <top/>
      <bottom style="hair">
        <color auto="1"/>
      </bottom>
      <diagonal/>
    </border>
    <border>
      <left/>
      <right style="hair">
        <color indexed="64"/>
      </right>
      <top/>
      <bottom style="hair">
        <color indexed="64"/>
      </bottom>
      <diagonal/>
    </border>
    <border>
      <left/>
      <right style="thin">
        <color auto="1"/>
      </right>
      <top/>
      <bottom style="hair">
        <color auto="1"/>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right/>
      <top/>
      <bottom style="medium">
        <color auto="1"/>
      </bottom>
      <diagonal/>
    </border>
    <border>
      <left/>
      <right/>
      <top style="medium">
        <color auto="1"/>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bottom style="medium">
        <color indexed="64"/>
      </bottom>
      <diagonal/>
    </border>
    <border>
      <left style="hair">
        <color auto="1"/>
      </left>
      <right/>
      <top style="hair">
        <color auto="1"/>
      </top>
      <bottom/>
      <diagonal/>
    </border>
    <border>
      <left style="hair">
        <color auto="1"/>
      </left>
      <right/>
      <top/>
      <bottom style="hair">
        <color auto="1"/>
      </bottom>
      <diagonal/>
    </border>
    <border>
      <left style="hair">
        <color indexed="64"/>
      </left>
      <right/>
      <top style="thin">
        <color indexed="64"/>
      </top>
      <bottom/>
      <diagonal/>
    </border>
    <border>
      <left style="hair">
        <color auto="1"/>
      </left>
      <right style="thin">
        <color auto="1"/>
      </right>
      <top/>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auto="1"/>
      </left>
      <right/>
      <top/>
      <bottom/>
      <diagonal/>
    </border>
    <border>
      <left style="thin">
        <color indexed="64"/>
      </left>
      <right style="thin">
        <color indexed="64"/>
      </right>
      <top style="medium">
        <color indexed="64"/>
      </top>
      <bottom style="thin">
        <color auto="1"/>
      </bottom>
      <diagonal/>
    </border>
    <border>
      <left style="thin">
        <color indexed="64"/>
      </left>
      <right style="hair">
        <color indexed="64"/>
      </right>
      <top style="medium">
        <color indexed="64"/>
      </top>
      <bottom style="thin">
        <color auto="1"/>
      </bottom>
      <diagonal/>
    </border>
    <border>
      <left style="hair">
        <color indexed="64"/>
      </left>
      <right style="hair">
        <color indexed="64"/>
      </right>
      <top style="medium">
        <color indexed="64"/>
      </top>
      <bottom style="thin">
        <color auto="1"/>
      </bottom>
      <diagonal/>
    </border>
    <border>
      <left style="hair">
        <color indexed="64"/>
      </left>
      <right/>
      <top style="medium">
        <color indexed="64"/>
      </top>
      <bottom style="thin">
        <color auto="1"/>
      </bottom>
      <diagonal/>
    </border>
    <border>
      <left style="hair">
        <color indexed="64"/>
      </left>
      <right style="thin">
        <color indexed="64"/>
      </right>
      <top style="medium">
        <color indexed="64"/>
      </top>
      <bottom style="thin">
        <color auto="1"/>
      </bottom>
      <diagonal/>
    </border>
    <border>
      <left style="thin">
        <color indexed="64"/>
      </left>
      <right style="thin">
        <color auto="1"/>
      </right>
      <top style="thick">
        <color indexed="64"/>
      </top>
      <bottom style="hair">
        <color auto="1"/>
      </bottom>
      <diagonal/>
    </border>
    <border>
      <left style="thin">
        <color auto="1"/>
      </left>
      <right/>
      <top style="thick">
        <color indexed="64"/>
      </top>
      <bottom style="hair">
        <color auto="1"/>
      </bottom>
      <diagonal/>
    </border>
    <border>
      <left/>
      <right style="thin">
        <color auto="1"/>
      </right>
      <top style="thick">
        <color indexed="64"/>
      </top>
      <bottom style="hair">
        <color auto="1"/>
      </bottom>
      <diagonal/>
    </border>
    <border>
      <left style="thin">
        <color auto="1"/>
      </left>
      <right style="hair">
        <color auto="1"/>
      </right>
      <top style="thick">
        <color indexed="64"/>
      </top>
      <bottom style="hair">
        <color auto="1"/>
      </bottom>
      <diagonal/>
    </border>
    <border>
      <left style="hair">
        <color auto="1"/>
      </left>
      <right style="thin">
        <color auto="1"/>
      </right>
      <top style="thick">
        <color indexed="64"/>
      </top>
      <bottom style="hair">
        <color auto="1"/>
      </bottom>
      <diagonal/>
    </border>
    <border>
      <left/>
      <right style="hair">
        <color indexed="64"/>
      </right>
      <top style="thick">
        <color indexed="64"/>
      </top>
      <bottom style="hair">
        <color auto="1"/>
      </bottom>
      <diagonal/>
    </border>
    <border>
      <left style="hair">
        <color auto="1"/>
      </left>
      <right style="hair">
        <color auto="1"/>
      </right>
      <top style="thick">
        <color indexed="64"/>
      </top>
      <bottom style="hair">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thin">
        <color auto="1"/>
      </top>
      <bottom style="hair">
        <color auto="1"/>
      </bottom>
      <diagonal/>
    </border>
    <border>
      <left style="hair">
        <color indexed="64"/>
      </left>
      <right/>
      <top style="thin">
        <color auto="1"/>
      </top>
      <bottom style="hair">
        <color auto="1"/>
      </bottom>
      <diagonal/>
    </border>
    <border>
      <left style="thin">
        <color auto="1"/>
      </left>
      <right style="hair">
        <color auto="1"/>
      </right>
      <top style="hair">
        <color auto="1"/>
      </top>
      <bottom style="double">
        <color auto="1"/>
      </bottom>
      <diagonal/>
    </border>
    <border>
      <left style="hair">
        <color indexed="64"/>
      </left>
      <right/>
      <top style="hair">
        <color auto="1"/>
      </top>
      <bottom style="double">
        <color auto="1"/>
      </bottom>
      <diagonal/>
    </border>
    <border>
      <left style="hair">
        <color auto="1"/>
      </left>
      <right style="thin">
        <color auto="1"/>
      </right>
      <top style="hair">
        <color auto="1"/>
      </top>
      <bottom style="double">
        <color auto="1"/>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style="thin">
        <color indexed="64"/>
      </left>
      <right style="thin">
        <color indexed="64"/>
      </right>
      <top style="thin">
        <color indexed="64"/>
      </top>
      <bottom style="thin">
        <color indexed="64"/>
      </bottom>
      <diagonal/>
    </border>
    <border>
      <left/>
      <right style="thin">
        <color auto="1"/>
      </right>
      <top style="hair">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auto="1"/>
      </top>
      <bottom style="hair">
        <color auto="1"/>
      </bottom>
      <diagonal/>
    </border>
    <border>
      <left/>
      <right style="medium">
        <color indexed="64"/>
      </right>
      <top/>
      <bottom style="hair">
        <color auto="1"/>
      </bottom>
      <diagonal/>
    </border>
    <border>
      <left style="medium">
        <color indexed="64"/>
      </left>
      <right/>
      <top style="thin">
        <color indexed="64"/>
      </top>
      <bottom/>
      <diagonal/>
    </border>
    <border>
      <left/>
      <right style="medium">
        <color indexed="64"/>
      </right>
      <top style="hair">
        <color auto="1"/>
      </top>
      <bottom/>
      <diagonal/>
    </border>
    <border>
      <left style="medium">
        <color indexed="64"/>
      </left>
      <right/>
      <top style="hair">
        <color auto="1"/>
      </top>
      <bottom/>
      <diagonal/>
    </border>
    <border>
      <left style="medium">
        <color indexed="64"/>
      </left>
      <right/>
      <top/>
      <bottom style="hair">
        <color auto="1"/>
      </bottom>
      <diagonal/>
    </border>
    <border>
      <left/>
      <right style="medium">
        <color indexed="64"/>
      </right>
      <top style="hair">
        <color auto="1"/>
      </top>
      <bottom style="thin">
        <color auto="1"/>
      </bottom>
      <diagonal/>
    </border>
    <border>
      <left style="medium">
        <color indexed="64"/>
      </left>
      <right style="hair">
        <color indexed="64"/>
      </right>
      <top style="hair">
        <color auto="1"/>
      </top>
      <bottom style="thin">
        <color auto="1"/>
      </bottom>
      <diagonal/>
    </border>
    <border>
      <left style="hair">
        <color indexed="64"/>
      </left>
      <right style="medium">
        <color indexed="64"/>
      </right>
      <top style="hair">
        <color auto="1"/>
      </top>
      <bottom style="thin">
        <color auto="1"/>
      </bottom>
      <diagonal/>
    </border>
    <border>
      <left style="medium">
        <color indexed="64"/>
      </left>
      <right/>
      <top style="hair">
        <color indexed="64"/>
      </top>
      <bottom style="thin">
        <color indexed="64"/>
      </bottom>
      <diagonal/>
    </border>
    <border>
      <left style="hair">
        <color indexed="64"/>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auto="1"/>
      </bottom>
      <diagonal/>
    </border>
    <border>
      <left style="hair">
        <color indexed="64"/>
      </left>
      <right style="hair">
        <color indexed="64"/>
      </right>
      <top style="thin">
        <color indexed="64"/>
      </top>
      <bottom style="thin">
        <color auto="1"/>
      </bottom>
      <diagonal/>
    </border>
    <border>
      <left style="hair">
        <color indexed="64"/>
      </left>
      <right style="thin">
        <color auto="1"/>
      </right>
      <top style="thin">
        <color indexed="64"/>
      </top>
      <bottom style="thin">
        <color auto="1"/>
      </bottom>
      <diagonal/>
    </border>
    <border>
      <left style="thin">
        <color auto="1"/>
      </left>
      <right/>
      <top style="thin">
        <color auto="1"/>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indexed="64"/>
      </left>
      <right style="thin">
        <color indexed="64"/>
      </right>
      <top style="thin">
        <color auto="1"/>
      </top>
      <bottom/>
      <diagonal/>
    </border>
    <border>
      <left style="thin">
        <color auto="1"/>
      </left>
      <right style="hair">
        <color indexed="64"/>
      </right>
      <top style="thin">
        <color auto="1"/>
      </top>
      <bottom style="hair">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indexed="64"/>
      </left>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medium">
        <color indexed="64"/>
      </left>
      <right/>
      <top style="medium">
        <color indexed="64"/>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1">
    <xf numFmtId="0" fontId="0" fillId="0" borderId="0"/>
    <xf numFmtId="0" fontId="10" fillId="0" borderId="0"/>
    <xf numFmtId="0" fontId="28" fillId="0" borderId="0"/>
    <xf numFmtId="164" fontId="30" fillId="0" borderId="0">
      <alignment vertical="top" wrapText="1"/>
    </xf>
    <xf numFmtId="165" fontId="30" fillId="0" borderId="0" applyFont="0" applyFill="0" applyBorder="0" applyAlignment="0" applyProtection="0"/>
    <xf numFmtId="4" fontId="33" fillId="0" borderId="91">
      <alignment horizontal="right" wrapText="1"/>
    </xf>
    <xf numFmtId="164" fontId="30" fillId="0" borderId="0">
      <alignment vertical="top" wrapText="1"/>
    </xf>
    <xf numFmtId="164" fontId="30" fillId="0" borderId="0">
      <alignment vertical="top" wrapText="1"/>
    </xf>
    <xf numFmtId="164" fontId="30" fillId="0" borderId="0">
      <alignment vertical="top" wrapText="1"/>
    </xf>
    <xf numFmtId="0" fontId="9" fillId="0" borderId="0"/>
    <xf numFmtId="0" fontId="8" fillId="0" borderId="0"/>
    <xf numFmtId="0" fontId="7" fillId="0" borderId="0"/>
    <xf numFmtId="0" fontId="28" fillId="0" borderId="0"/>
    <xf numFmtId="0" fontId="6" fillId="0" borderId="0"/>
    <xf numFmtId="0" fontId="5" fillId="0" borderId="0"/>
    <xf numFmtId="0" fontId="64" fillId="18" borderId="0" applyNumberFormat="0" applyBorder="0" applyAlignment="0" applyProtection="0"/>
    <xf numFmtId="0" fontId="65" fillId="19" borderId="0" applyNumberFormat="0" applyBorder="0" applyAlignment="0" applyProtection="0"/>
    <xf numFmtId="0" fontId="3" fillId="0" borderId="0"/>
    <xf numFmtId="0" fontId="2" fillId="0" borderId="0"/>
    <xf numFmtId="0" fontId="1" fillId="0" borderId="0"/>
    <xf numFmtId="0" fontId="71" fillId="0" borderId="0" applyNumberFormat="0" applyFill="0" applyBorder="0" applyAlignment="0" applyProtection="0"/>
  </cellStyleXfs>
  <cellXfs count="1958">
    <xf numFmtId="0" fontId="0" fillId="0" borderId="0" xfId="0"/>
    <xf numFmtId="0" fontId="12" fillId="0" borderId="0" xfId="0" applyNumberFormat="1" applyFont="1" applyBorder="1" applyAlignment="1">
      <alignment horizontal="left"/>
    </xf>
    <xf numFmtId="0" fontId="16" fillId="0" borderId="0" xfId="0" applyNumberFormat="1" applyFont="1" applyBorder="1" applyAlignment="1">
      <alignment horizontal="left"/>
    </xf>
    <xf numFmtId="0" fontId="18" fillId="0" borderId="0" xfId="0" applyNumberFormat="1" applyFont="1" applyBorder="1" applyAlignment="1">
      <alignment horizontal="left"/>
    </xf>
    <xf numFmtId="0" fontId="19" fillId="0" borderId="0" xfId="0" applyFont="1"/>
    <xf numFmtId="0" fontId="20" fillId="0" borderId="0" xfId="0" applyNumberFormat="1" applyFont="1" applyBorder="1" applyAlignment="1">
      <alignment horizontal="left"/>
    </xf>
    <xf numFmtId="0" fontId="18" fillId="0" borderId="0" xfId="0" applyNumberFormat="1" applyFont="1" applyBorder="1" applyAlignment="1"/>
    <xf numFmtId="0" fontId="16" fillId="0" borderId="0" xfId="0" applyFont="1" applyAlignment="1">
      <alignment vertical="center"/>
    </xf>
    <xf numFmtId="0" fontId="16" fillId="0" borderId="0" xfId="0" applyNumberFormat="1" applyFont="1" applyBorder="1" applyAlignment="1">
      <alignment horizontal="center" vertical="center" wrapText="1"/>
    </xf>
    <xf numFmtId="0" fontId="18" fillId="0" borderId="0" xfId="0" applyNumberFormat="1" applyFont="1" applyBorder="1" applyAlignment="1">
      <alignment horizontal="left" vertical="center" wrapText="1"/>
    </xf>
    <xf numFmtId="0" fontId="18" fillId="0" borderId="0" xfId="0" applyNumberFormat="1" applyFont="1" applyBorder="1" applyAlignment="1">
      <alignment vertical="center" wrapText="1"/>
    </xf>
    <xf numFmtId="0" fontId="19" fillId="0" borderId="0" xfId="0" applyFont="1" applyBorder="1" applyAlignment="1">
      <alignment horizontal="left" vertical="center" indent="1"/>
    </xf>
    <xf numFmtId="0" fontId="14" fillId="0" borderId="0" xfId="0" applyFont="1"/>
    <xf numFmtId="0" fontId="16" fillId="0" borderId="0" xfId="0" applyFont="1"/>
    <xf numFmtId="0" fontId="18" fillId="0" borderId="11" xfId="0" applyNumberFormat="1" applyFont="1" applyBorder="1" applyAlignment="1"/>
    <xf numFmtId="49" fontId="17" fillId="0" borderId="3" xfId="0" applyNumberFormat="1"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49" fontId="17" fillId="0" borderId="42"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44" xfId="0" applyNumberFormat="1" applyFont="1" applyBorder="1" applyAlignment="1">
      <alignment horizontal="center" vertical="center"/>
    </xf>
    <xf numFmtId="0" fontId="16" fillId="0" borderId="0" xfId="0" applyFont="1" applyBorder="1" applyAlignment="1">
      <alignment vertical="center"/>
    </xf>
    <xf numFmtId="49" fontId="16" fillId="0" borderId="0" xfId="0" applyNumberFormat="1" applyFont="1" applyBorder="1" applyAlignment="1">
      <alignment horizontal="center" vertical="center"/>
    </xf>
    <xf numFmtId="49" fontId="16" fillId="0" borderId="0" xfId="0" applyNumberFormat="1" applyFont="1" applyBorder="1" applyAlignment="1">
      <alignment vertical="center"/>
    </xf>
    <xf numFmtId="0" fontId="16" fillId="0" borderId="0" xfId="0" applyFont="1" applyBorder="1"/>
    <xf numFmtId="49" fontId="16" fillId="0" borderId="0" xfId="0" applyNumberFormat="1" applyFont="1" applyBorder="1" applyAlignment="1">
      <alignment horizontal="left" vertical="center" wrapText="1" indent="1"/>
    </xf>
    <xf numFmtId="49" fontId="16" fillId="0" borderId="40" xfId="0" applyNumberFormat="1" applyFont="1" applyBorder="1" applyAlignment="1">
      <alignment horizontal="left" vertical="center" wrapText="1" indent="1"/>
    </xf>
    <xf numFmtId="49" fontId="16" fillId="0" borderId="41" xfId="0" applyNumberFormat="1" applyFont="1" applyBorder="1" applyAlignment="1">
      <alignment horizontal="left" vertical="center" wrapText="1" indent="1"/>
    </xf>
    <xf numFmtId="49" fontId="16" fillId="0" borderId="39" xfId="0" applyNumberFormat="1" applyFont="1" applyBorder="1" applyAlignment="1">
      <alignment horizontal="left" vertical="center" wrapText="1" indent="1"/>
    </xf>
    <xf numFmtId="49" fontId="16" fillId="0" borderId="45" xfId="0" applyNumberFormat="1" applyFont="1" applyBorder="1" applyAlignment="1">
      <alignment horizontal="left" vertical="center" wrapText="1" indent="1"/>
    </xf>
    <xf numFmtId="49" fontId="16" fillId="0" borderId="47" xfId="0" applyNumberFormat="1" applyFont="1" applyBorder="1" applyAlignment="1">
      <alignment horizontal="left" vertical="center" wrapText="1" indent="1"/>
    </xf>
    <xf numFmtId="0" fontId="16" fillId="0" borderId="49" xfId="0" applyNumberFormat="1" applyFont="1" applyBorder="1" applyAlignment="1">
      <alignment horizontal="center" vertical="center" wrapText="1"/>
    </xf>
    <xf numFmtId="0" fontId="16" fillId="0" borderId="50" xfId="0" applyNumberFormat="1" applyFont="1" applyBorder="1" applyAlignment="1">
      <alignment horizontal="center" vertical="center" wrapText="1"/>
    </xf>
    <xf numFmtId="0" fontId="16" fillId="0" borderId="51" xfId="0" applyNumberFormat="1" applyFont="1" applyBorder="1" applyAlignment="1">
      <alignment horizontal="center" vertical="center" wrapText="1"/>
    </xf>
    <xf numFmtId="49" fontId="17" fillId="0" borderId="3" xfId="0" applyNumberFormat="1" applyFont="1" applyBorder="1" applyAlignment="1">
      <alignment horizontal="center" wrapText="1"/>
    </xf>
    <xf numFmtId="0" fontId="16" fillId="0" borderId="0" xfId="0" applyNumberFormat="1" applyFont="1" applyBorder="1" applyAlignment="1">
      <alignment horizontal="center" vertical="center"/>
    </xf>
    <xf numFmtId="0" fontId="16" fillId="0" borderId="56" xfId="0" applyFont="1" applyBorder="1"/>
    <xf numFmtId="0" fontId="16" fillId="0" borderId="57" xfId="0" applyFont="1" applyBorder="1"/>
    <xf numFmtId="0" fontId="16" fillId="0" borderId="58" xfId="0" applyFont="1" applyBorder="1"/>
    <xf numFmtId="0" fontId="16" fillId="0" borderId="59" xfId="0" applyFont="1" applyBorder="1"/>
    <xf numFmtId="0" fontId="14" fillId="0" borderId="64" xfId="0" applyFont="1" applyBorder="1"/>
    <xf numFmtId="0" fontId="14" fillId="0" borderId="65" xfId="0" applyFont="1" applyBorder="1"/>
    <xf numFmtId="0" fontId="16" fillId="0" borderId="55" xfId="0" applyFont="1" applyBorder="1" applyAlignment="1">
      <alignment horizontal="left" indent="2"/>
    </xf>
    <xf numFmtId="0" fontId="14" fillId="0" borderId="0" xfId="0" applyFont="1" applyAlignment="1">
      <alignment horizontal="left" vertical="center" wrapText="1" indent="1"/>
    </xf>
    <xf numFmtId="166" fontId="18" fillId="0" borderId="0" xfId="0" applyNumberFormat="1" applyFont="1" applyAlignment="1">
      <alignment vertical="center"/>
    </xf>
    <xf numFmtId="0" fontId="17" fillId="0" borderId="0" xfId="0" applyFont="1" applyAlignment="1">
      <alignment vertical="center"/>
    </xf>
    <xf numFmtId="49" fontId="16" fillId="0" borderId="40" xfId="0" applyNumberFormat="1" applyFont="1" applyBorder="1" applyAlignment="1">
      <alignment horizontal="center" vertical="center" wrapText="1"/>
    </xf>
    <xf numFmtId="49" fontId="16" fillId="0" borderId="39" xfId="0" applyNumberFormat="1" applyFont="1" applyBorder="1" applyAlignment="1">
      <alignment horizontal="center" vertical="center" wrapText="1"/>
    </xf>
    <xf numFmtId="49" fontId="16" fillId="0" borderId="47" xfId="0" applyNumberFormat="1" applyFont="1" applyBorder="1" applyAlignment="1">
      <alignment horizontal="center" vertical="center" wrapText="1"/>
    </xf>
    <xf numFmtId="0" fontId="10" fillId="2" borderId="0" xfId="1" applyFill="1"/>
    <xf numFmtId="0" fontId="10" fillId="0" borderId="0" xfId="1"/>
    <xf numFmtId="0" fontId="10" fillId="0" borderId="0" xfId="1" applyBorder="1"/>
    <xf numFmtId="0" fontId="10" fillId="0" borderId="0" xfId="1" applyFill="1"/>
    <xf numFmtId="0" fontId="25" fillId="0" borderId="0" xfId="1" applyFont="1" applyAlignment="1">
      <alignment horizontal="right" indent="1"/>
    </xf>
    <xf numFmtId="0" fontId="10" fillId="0" borderId="79" xfId="1" applyBorder="1"/>
    <xf numFmtId="0" fontId="10" fillId="0" borderId="1" xfId="1" applyBorder="1"/>
    <xf numFmtId="0" fontId="25" fillId="0" borderId="0" xfId="1" applyFont="1" applyBorder="1" applyAlignment="1">
      <alignment horizontal="right" indent="1"/>
    </xf>
    <xf numFmtId="0" fontId="27" fillId="0" borderId="0" xfId="1" applyFont="1" applyAlignment="1">
      <alignment horizontal="right" vertical="center" indent="1"/>
    </xf>
    <xf numFmtId="0" fontId="24" fillId="0" borderId="0" xfId="1" applyFont="1" applyFill="1" applyBorder="1" applyAlignment="1">
      <alignment vertical="center"/>
    </xf>
    <xf numFmtId="0" fontId="16" fillId="0" borderId="1" xfId="0" applyNumberFormat="1" applyFont="1" applyBorder="1" applyAlignment="1">
      <alignment horizontal="center" vertical="center"/>
    </xf>
    <xf numFmtId="49" fontId="16" fillId="0" borderId="36" xfId="0" applyNumberFormat="1" applyFont="1" applyBorder="1" applyAlignment="1">
      <alignment horizontal="left" vertical="center" wrapText="1" indent="1"/>
    </xf>
    <xf numFmtId="49" fontId="16" fillId="0" borderId="31" xfId="0" applyNumberFormat="1" applyFont="1" applyBorder="1" applyAlignment="1">
      <alignment horizontal="left" vertical="center" wrapText="1" indent="1"/>
    </xf>
    <xf numFmtId="0" fontId="31" fillId="0" borderId="0" xfId="1" applyFont="1"/>
    <xf numFmtId="49" fontId="17" fillId="0" borderId="49" xfId="0" applyNumberFormat="1"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49" xfId="0" applyFont="1" applyBorder="1" applyAlignment="1">
      <alignment horizontal="center"/>
    </xf>
    <xf numFmtId="0" fontId="17" fillId="0" borderId="50" xfId="0" applyFont="1" applyBorder="1" applyAlignment="1">
      <alignment horizontal="center"/>
    </xf>
    <xf numFmtId="0" fontId="17" fillId="0" borderId="89" xfId="0" applyFont="1" applyBorder="1" applyAlignment="1">
      <alignment horizontal="center"/>
    </xf>
    <xf numFmtId="49" fontId="16" fillId="0" borderId="38" xfId="0" applyNumberFormat="1" applyFont="1" applyBorder="1" applyAlignment="1">
      <alignment horizontal="center" vertical="center" wrapText="1"/>
    </xf>
    <xf numFmtId="167" fontId="16" fillId="0" borderId="18" xfId="0" applyNumberFormat="1" applyFont="1" applyBorder="1" applyAlignment="1">
      <alignment horizontal="center" vertical="center"/>
    </xf>
    <xf numFmtId="167" fontId="16" fillId="0" borderId="19" xfId="0" applyNumberFormat="1" applyFont="1" applyBorder="1" applyAlignment="1">
      <alignment horizontal="center" vertical="center"/>
    </xf>
    <xf numFmtId="167" fontId="16" fillId="0" borderId="20" xfId="0" applyNumberFormat="1" applyFont="1" applyBorder="1" applyAlignment="1">
      <alignment horizontal="center" vertical="center"/>
    </xf>
    <xf numFmtId="167" fontId="16" fillId="0" borderId="0" xfId="0" applyNumberFormat="1" applyFont="1"/>
    <xf numFmtId="167" fontId="16" fillId="0" borderId="21" xfId="0" applyNumberFormat="1" applyFont="1" applyBorder="1" applyAlignment="1">
      <alignment horizontal="center" vertical="center" wrapText="1"/>
    </xf>
    <xf numFmtId="167" fontId="16" fillId="0" borderId="22" xfId="0" applyNumberFormat="1" applyFont="1" applyBorder="1" applyAlignment="1">
      <alignment horizontal="center" vertical="center" wrapText="1"/>
    </xf>
    <xf numFmtId="167" fontId="16" fillId="0" borderId="23" xfId="0" applyNumberFormat="1" applyFont="1" applyBorder="1" applyAlignment="1">
      <alignment horizontal="center" vertical="center" wrapText="1"/>
    </xf>
    <xf numFmtId="167" fontId="16" fillId="6" borderId="21" xfId="0" applyNumberFormat="1" applyFont="1" applyFill="1" applyBorder="1" applyAlignment="1">
      <alignment horizontal="center" vertical="center" wrapText="1"/>
    </xf>
    <xf numFmtId="167" fontId="16" fillId="6" borderId="22" xfId="0" applyNumberFormat="1" applyFont="1" applyFill="1" applyBorder="1" applyAlignment="1">
      <alignment horizontal="center" vertical="center" wrapText="1"/>
    </xf>
    <xf numFmtId="167" fontId="16" fillId="6" borderId="23" xfId="0" applyNumberFormat="1" applyFont="1" applyFill="1" applyBorder="1" applyAlignment="1">
      <alignment horizontal="center" vertical="center" wrapText="1"/>
    </xf>
    <xf numFmtId="167" fontId="16" fillId="0" borderId="21" xfId="0" applyNumberFormat="1" applyFont="1" applyFill="1" applyBorder="1" applyAlignment="1">
      <alignment horizontal="center" vertical="center" wrapText="1"/>
    </xf>
    <xf numFmtId="167" fontId="16" fillId="0" borderId="22" xfId="0" applyNumberFormat="1" applyFont="1" applyFill="1" applyBorder="1" applyAlignment="1">
      <alignment horizontal="center" vertical="center" wrapText="1"/>
    </xf>
    <xf numFmtId="167" fontId="16" fillId="0" borderId="23" xfId="0" applyNumberFormat="1" applyFont="1" applyFill="1" applyBorder="1" applyAlignment="1">
      <alignment horizontal="center" vertical="center" wrapText="1"/>
    </xf>
    <xf numFmtId="49" fontId="16" fillId="0" borderId="36" xfId="0" applyNumberFormat="1" applyFont="1" applyBorder="1" applyAlignment="1">
      <alignment horizontal="center" vertical="center" wrapText="1"/>
    </xf>
    <xf numFmtId="167" fontId="16" fillId="6" borderId="24" xfId="0" applyNumberFormat="1" applyFont="1" applyFill="1" applyBorder="1" applyAlignment="1">
      <alignment horizontal="center" vertical="center" wrapText="1"/>
    </xf>
    <xf numFmtId="167" fontId="16" fillId="6" borderId="25" xfId="0" applyNumberFormat="1" applyFont="1" applyFill="1" applyBorder="1" applyAlignment="1">
      <alignment horizontal="center" vertical="center" wrapText="1"/>
    </xf>
    <xf numFmtId="167" fontId="16" fillId="6" borderId="26" xfId="0" applyNumberFormat="1" applyFont="1" applyFill="1" applyBorder="1" applyAlignment="1">
      <alignment horizontal="center" vertical="center" wrapText="1"/>
    </xf>
    <xf numFmtId="167" fontId="16" fillId="0" borderId="32" xfId="0" applyNumberFormat="1" applyFont="1" applyBorder="1" applyAlignment="1">
      <alignment horizontal="center" vertical="center" wrapText="1"/>
    </xf>
    <xf numFmtId="167" fontId="16" fillId="0" borderId="33" xfId="0" applyNumberFormat="1" applyFont="1" applyBorder="1" applyAlignment="1">
      <alignment horizontal="center" vertical="center" wrapText="1"/>
    </xf>
    <xf numFmtId="167" fontId="16" fillId="0" borderId="48" xfId="0" applyNumberFormat="1" applyFont="1" applyBorder="1" applyAlignment="1">
      <alignment horizontal="center" vertical="center" wrapText="1"/>
    </xf>
    <xf numFmtId="167" fontId="16" fillId="0" borderId="29" xfId="0" applyNumberFormat="1" applyFont="1" applyBorder="1" applyAlignment="1">
      <alignment horizontal="center" vertical="center" wrapText="1"/>
    </xf>
    <xf numFmtId="167" fontId="16" fillId="0" borderId="54" xfId="0" applyNumberFormat="1" applyFont="1" applyBorder="1" applyAlignment="1">
      <alignment horizontal="center" vertical="center" wrapText="1"/>
    </xf>
    <xf numFmtId="167" fontId="16" fillId="0" borderId="30" xfId="0" applyNumberFormat="1" applyFont="1" applyBorder="1" applyAlignment="1">
      <alignment horizontal="center" vertical="center" wrapText="1"/>
    </xf>
    <xf numFmtId="167" fontId="16" fillId="0" borderId="18" xfId="0" applyNumberFormat="1" applyFont="1" applyBorder="1" applyAlignment="1">
      <alignment horizontal="center" vertical="center" wrapText="1"/>
    </xf>
    <xf numFmtId="167" fontId="16" fillId="0" borderId="20" xfId="0" applyNumberFormat="1" applyFont="1" applyBorder="1" applyAlignment="1">
      <alignment horizontal="center" vertical="center" wrapText="1"/>
    </xf>
    <xf numFmtId="167" fontId="16" fillId="0" borderId="90" xfId="0" applyNumberFormat="1" applyFont="1" applyBorder="1" applyAlignment="1">
      <alignment horizontal="center" vertical="center" wrapText="1"/>
    </xf>
    <xf numFmtId="0" fontId="0" fillId="0" borderId="0" xfId="0" applyFont="1" applyAlignment="1">
      <alignment horizontal="left" vertical="center" wrapText="1" indent="1"/>
    </xf>
    <xf numFmtId="167" fontId="16" fillId="0" borderId="83" xfId="0" applyNumberFormat="1" applyFont="1" applyBorder="1" applyAlignment="1">
      <alignment horizontal="center" vertical="center" wrapText="1"/>
    </xf>
    <xf numFmtId="167" fontId="16" fillId="0" borderId="31" xfId="0" applyNumberFormat="1" applyFont="1" applyBorder="1" applyAlignment="1">
      <alignment horizontal="center" vertical="center" wrapText="1"/>
    </xf>
    <xf numFmtId="167" fontId="16" fillId="0" borderId="25" xfId="0" applyNumberFormat="1" applyFont="1" applyBorder="1" applyAlignment="1">
      <alignment horizontal="center" vertical="center" wrapText="1"/>
    </xf>
    <xf numFmtId="167" fontId="16" fillId="0" borderId="24" xfId="0" applyNumberFormat="1" applyFont="1" applyBorder="1" applyAlignment="1">
      <alignment horizontal="center" vertical="center" wrapText="1"/>
    </xf>
    <xf numFmtId="167" fontId="16" fillId="0" borderId="26" xfId="0" applyNumberFormat="1" applyFont="1" applyBorder="1" applyAlignment="1">
      <alignment horizontal="center" vertical="center" wrapText="1"/>
    </xf>
    <xf numFmtId="167" fontId="16" fillId="7" borderId="21" xfId="0" applyNumberFormat="1" applyFont="1" applyFill="1" applyBorder="1" applyAlignment="1">
      <alignment vertical="center"/>
    </xf>
    <xf numFmtId="167" fontId="16" fillId="7" borderId="22" xfId="0" applyNumberFormat="1" applyFont="1" applyFill="1" applyBorder="1" applyAlignment="1">
      <alignment vertical="center"/>
    </xf>
    <xf numFmtId="167" fontId="16" fillId="7" borderId="23" xfId="0" applyNumberFormat="1" applyFont="1" applyFill="1" applyBorder="1" applyAlignment="1">
      <alignment vertical="center"/>
    </xf>
    <xf numFmtId="0" fontId="16" fillId="0" borderId="42" xfId="0" applyNumberFormat="1" applyFont="1" applyBorder="1" applyAlignment="1">
      <alignment horizontal="center" vertical="center" wrapText="1"/>
    </xf>
    <xf numFmtId="0" fontId="16" fillId="0" borderId="43" xfId="0" applyNumberFormat="1" applyFont="1" applyBorder="1" applyAlignment="1">
      <alignment horizontal="center" vertical="center" wrapText="1"/>
    </xf>
    <xf numFmtId="0" fontId="16" fillId="0" borderId="44" xfId="0" applyNumberFormat="1" applyFont="1" applyBorder="1" applyAlignment="1">
      <alignment horizontal="center" vertical="center" wrapText="1"/>
    </xf>
    <xf numFmtId="0" fontId="16" fillId="0" borderId="0" xfId="0" applyFont="1" applyAlignment="1">
      <alignment horizontal="center" vertical="center"/>
    </xf>
    <xf numFmtId="0" fontId="16" fillId="0" borderId="1" xfId="0" applyNumberFormat="1" applyFont="1" applyBorder="1" applyAlignment="1">
      <alignment horizontal="center" vertical="center"/>
    </xf>
    <xf numFmtId="4" fontId="0" fillId="0" borderId="0" xfId="0" applyNumberFormat="1" applyFont="1"/>
    <xf numFmtId="0" fontId="0" fillId="0" borderId="0" xfId="0" applyFont="1"/>
    <xf numFmtId="0" fontId="18" fillId="0" borderId="0" xfId="0" applyFont="1"/>
    <xf numFmtId="0" fontId="18" fillId="0" borderId="0" xfId="0" applyFont="1" applyBorder="1"/>
    <xf numFmtId="0" fontId="16" fillId="0" borderId="2" xfId="0" applyNumberFormat="1" applyFont="1" applyBorder="1" applyAlignment="1">
      <alignment horizontal="center" vertical="center"/>
    </xf>
    <xf numFmtId="0" fontId="16" fillId="0" borderId="2" xfId="0" applyNumberFormat="1" applyFont="1" applyBorder="1" applyAlignment="1">
      <alignment horizontal="center"/>
    </xf>
    <xf numFmtId="0" fontId="18" fillId="0" borderId="0" xfId="0" applyNumberFormat="1" applyFont="1" applyBorder="1" applyAlignment="1">
      <alignment horizontal="center"/>
    </xf>
    <xf numFmtId="0" fontId="18" fillId="0" borderId="0" xfId="0" applyNumberFormat="1" applyFont="1" applyBorder="1" applyAlignment="1">
      <alignment horizontal="left" vertical="center" wrapText="1" indent="1"/>
    </xf>
    <xf numFmtId="0" fontId="16" fillId="0" borderId="0" xfId="0" applyFont="1" applyAlignment="1">
      <alignment horizontal="center" vertical="center"/>
    </xf>
    <xf numFmtId="0" fontId="14" fillId="0" borderId="0" xfId="0" applyNumberFormat="1" applyFont="1" applyFill="1" applyBorder="1" applyAlignment="1" applyProtection="1">
      <alignment vertical="top"/>
    </xf>
    <xf numFmtId="0" fontId="34"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horizontal="center" vertical="top"/>
    </xf>
    <xf numFmtId="0" fontId="14"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top"/>
    </xf>
    <xf numFmtId="0" fontId="34" fillId="0" borderId="0" xfId="0" applyNumberFormat="1" applyFont="1" applyFill="1" applyBorder="1" applyAlignment="1" applyProtection="1">
      <alignment horizontal="right" vertical="top"/>
    </xf>
    <xf numFmtId="0" fontId="34" fillId="0" borderId="0" xfId="0" applyNumberFormat="1" applyFont="1" applyFill="1" applyBorder="1" applyAlignment="1" applyProtection="1">
      <alignment horizontal="center" vertical="top"/>
    </xf>
    <xf numFmtId="0" fontId="35" fillId="0" borderId="0" xfId="0" applyNumberFormat="1" applyFont="1" applyFill="1" applyBorder="1" applyAlignment="1" applyProtection="1">
      <alignment vertical="top"/>
    </xf>
    <xf numFmtId="0" fontId="35" fillId="0" borderId="0" xfId="0" applyNumberFormat="1" applyFont="1" applyFill="1" applyBorder="1" applyAlignment="1" applyProtection="1">
      <alignment horizontal="left" vertical="top" indent="15"/>
    </xf>
    <xf numFmtId="0" fontId="36" fillId="0" borderId="0" xfId="0" applyNumberFormat="1" applyFont="1" applyFill="1" applyBorder="1" applyAlignment="1" applyProtection="1">
      <alignment horizontal="center" vertical="top" wrapText="1"/>
    </xf>
    <xf numFmtId="0" fontId="14" fillId="0" borderId="0" xfId="0" applyNumberFormat="1" applyFont="1" applyFill="1" applyBorder="1" applyAlignment="1" applyProtection="1">
      <alignment vertical="top"/>
    </xf>
    <xf numFmtId="0" fontId="37" fillId="0" borderId="0" xfId="0" applyNumberFormat="1" applyFont="1" applyFill="1" applyBorder="1" applyAlignment="1" applyProtection="1">
      <alignment vertical="top" wrapText="1"/>
    </xf>
    <xf numFmtId="0" fontId="14" fillId="0" borderId="0" xfId="0" applyNumberFormat="1" applyFont="1" applyFill="1" applyBorder="1" applyAlignment="1" applyProtection="1">
      <alignment horizontal="center" vertical="center"/>
    </xf>
    <xf numFmtId="0" fontId="36" fillId="0" borderId="0" xfId="0" applyNumberFormat="1" applyFont="1" applyFill="1" applyBorder="1" applyAlignment="1" applyProtection="1">
      <alignment vertical="top"/>
    </xf>
    <xf numFmtId="0" fontId="0" fillId="0" borderId="0" xfId="0" applyAlignment="1">
      <alignment horizontal="center" vertical="center"/>
    </xf>
    <xf numFmtId="0" fontId="16" fillId="0" borderId="0" xfId="0" applyFont="1" applyAlignment="1">
      <alignment horizontal="center"/>
    </xf>
    <xf numFmtId="0" fontId="16" fillId="0" borderId="0" xfId="0" applyNumberFormat="1" applyFont="1" applyFill="1" applyBorder="1" applyAlignment="1" applyProtection="1">
      <alignment vertical="top"/>
    </xf>
    <xf numFmtId="4" fontId="14" fillId="0" borderId="0" xfId="0" applyNumberFormat="1" applyFont="1" applyFill="1" applyBorder="1" applyAlignment="1" applyProtection="1">
      <alignment vertical="top"/>
    </xf>
    <xf numFmtId="0" fontId="40" fillId="0" borderId="0" xfId="0" applyNumberFormat="1" applyFont="1" applyFill="1" applyBorder="1" applyAlignment="1" applyProtection="1">
      <alignment vertical="top"/>
    </xf>
    <xf numFmtId="4" fontId="40" fillId="0" borderId="6" xfId="0" applyNumberFormat="1" applyFont="1" applyFill="1" applyBorder="1" applyAlignment="1" applyProtection="1">
      <alignment horizontal="right" vertical="center"/>
    </xf>
    <xf numFmtId="4" fontId="40" fillId="0" borderId="10" xfId="0" applyNumberFormat="1" applyFont="1" applyFill="1" applyBorder="1" applyAlignment="1" applyProtection="1">
      <alignment horizontal="right" vertical="center"/>
    </xf>
    <xf numFmtId="4" fontId="40" fillId="0" borderId="8" xfId="0" applyNumberFormat="1" applyFont="1" applyFill="1" applyBorder="1" applyAlignment="1" applyProtection="1">
      <alignment horizontal="right" vertical="center"/>
    </xf>
    <xf numFmtId="0" fontId="20"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vertical="top"/>
    </xf>
    <xf numFmtId="0" fontId="37" fillId="0" borderId="0" xfId="0" applyNumberFormat="1" applyFont="1" applyFill="1" applyBorder="1" applyAlignment="1" applyProtection="1">
      <alignment vertical="top" wrapText="1"/>
    </xf>
    <xf numFmtId="0" fontId="14" fillId="8" borderId="0" xfId="0" applyNumberFormat="1" applyFont="1" applyFill="1" applyBorder="1" applyAlignment="1" applyProtection="1">
      <alignment vertical="top"/>
    </xf>
    <xf numFmtId="0" fontId="14" fillId="8" borderId="0" xfId="0" applyNumberFormat="1" applyFont="1" applyFill="1" applyBorder="1" applyAlignment="1" applyProtection="1">
      <alignment horizontal="center" vertical="top"/>
    </xf>
    <xf numFmtId="0" fontId="0" fillId="8" borderId="0" xfId="0" applyFill="1"/>
    <xf numFmtId="0" fontId="14" fillId="8" borderId="0" xfId="0" applyNumberFormat="1" applyFont="1" applyFill="1" applyBorder="1" applyAlignment="1" applyProtection="1">
      <alignment vertical="center"/>
    </xf>
    <xf numFmtId="0" fontId="14" fillId="0" borderId="20" xfId="0" applyNumberFormat="1" applyFont="1" applyFill="1" applyBorder="1" applyAlignment="1" applyProtection="1">
      <alignment horizontal="center" vertical="top" wrapText="1"/>
    </xf>
    <xf numFmtId="0" fontId="14" fillId="0" borderId="22" xfId="0" applyNumberFormat="1" applyFont="1" applyFill="1" applyBorder="1" applyAlignment="1" applyProtection="1">
      <alignment horizontal="center" vertical="top" wrapText="1"/>
    </xf>
    <xf numFmtId="0" fontId="14" fillId="0" borderId="23" xfId="0" applyNumberFormat="1" applyFont="1" applyFill="1" applyBorder="1" applyAlignment="1" applyProtection="1">
      <alignment horizontal="center" vertical="top" wrapText="1"/>
    </xf>
    <xf numFmtId="0" fontId="14" fillId="0" borderId="24" xfId="0" applyNumberFormat="1" applyFont="1" applyFill="1" applyBorder="1" applyAlignment="1" applyProtection="1">
      <alignment horizontal="center" vertical="top"/>
    </xf>
    <xf numFmtId="0" fontId="14" fillId="0" borderId="25" xfId="0" applyNumberFormat="1" applyFont="1" applyFill="1" applyBorder="1" applyAlignment="1" applyProtection="1">
      <alignment horizontal="center" vertical="top"/>
    </xf>
    <xf numFmtId="0" fontId="14" fillId="0" borderId="18" xfId="0" applyNumberFormat="1" applyFont="1" applyFill="1" applyBorder="1" applyAlignment="1" applyProtection="1">
      <alignment horizontal="center" vertical="top" wrapText="1"/>
    </xf>
    <xf numFmtId="0" fontId="14" fillId="0" borderId="19" xfId="0" applyNumberFormat="1" applyFont="1" applyFill="1" applyBorder="1" applyAlignment="1" applyProtection="1">
      <alignment horizontal="center" vertical="top" wrapText="1"/>
    </xf>
    <xf numFmtId="0" fontId="36" fillId="0" borderId="24" xfId="0" applyNumberFormat="1" applyFont="1" applyFill="1" applyBorder="1" applyAlignment="1" applyProtection="1">
      <alignment horizontal="center" vertical="top"/>
    </xf>
    <xf numFmtId="0" fontId="36" fillId="0" borderId="25" xfId="0" applyNumberFormat="1" applyFont="1" applyFill="1" applyBorder="1" applyAlignment="1" applyProtection="1">
      <alignment horizontal="center" vertical="top"/>
    </xf>
    <xf numFmtId="0" fontId="14" fillId="0" borderId="21" xfId="0" applyNumberFormat="1" applyFont="1" applyFill="1" applyBorder="1" applyAlignment="1" applyProtection="1">
      <alignment horizontal="center" vertical="top" wrapText="1"/>
    </xf>
    <xf numFmtId="0" fontId="36" fillId="0" borderId="26" xfId="0" applyNumberFormat="1" applyFont="1" applyFill="1" applyBorder="1" applyAlignment="1" applyProtection="1">
      <alignment horizontal="center" vertical="top"/>
    </xf>
    <xf numFmtId="0" fontId="14" fillId="0" borderId="26" xfId="0" applyNumberFormat="1" applyFont="1" applyFill="1" applyBorder="1" applyAlignment="1" applyProtection="1">
      <alignment horizontal="center" vertical="top"/>
    </xf>
    <xf numFmtId="0" fontId="14" fillId="0" borderId="78" xfId="0" applyNumberFormat="1" applyFont="1" applyFill="1" applyBorder="1" applyAlignment="1" applyProtection="1">
      <alignment horizontal="center" vertical="top"/>
    </xf>
    <xf numFmtId="0" fontId="17" fillId="0" borderId="42" xfId="0" applyNumberFormat="1" applyFont="1" applyFill="1" applyBorder="1" applyAlignment="1" applyProtection="1">
      <alignment horizontal="center" vertical="center" wrapText="1"/>
    </xf>
    <xf numFmtId="0" fontId="17" fillId="0" borderId="43" xfId="0" applyNumberFormat="1" applyFont="1" applyFill="1" applyBorder="1" applyAlignment="1" applyProtection="1">
      <alignment horizontal="center" vertical="center" wrapText="1"/>
    </xf>
    <xf numFmtId="0" fontId="14" fillId="0" borderId="25" xfId="0" applyNumberFormat="1" applyFont="1" applyFill="1" applyBorder="1" applyAlignment="1" applyProtection="1">
      <alignment horizontal="center" vertical="center"/>
    </xf>
    <xf numFmtId="0" fontId="14" fillId="0" borderId="94" xfId="0" applyNumberFormat="1" applyFont="1" applyFill="1" applyBorder="1" applyAlignment="1" applyProtection="1">
      <alignment horizontal="center" vertical="top"/>
    </xf>
    <xf numFmtId="0" fontId="14" fillId="0" borderId="16" xfId="0" applyNumberFormat="1" applyFont="1" applyFill="1" applyBorder="1" applyAlignment="1" applyProtection="1">
      <alignment horizontal="center" vertical="top"/>
    </xf>
    <xf numFmtId="0" fontId="14" fillId="0" borderId="16"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75" xfId="0" applyNumberFormat="1" applyFont="1" applyFill="1" applyBorder="1" applyAlignment="1" applyProtection="1">
      <alignment horizontal="center" vertical="center" wrapText="1"/>
    </xf>
    <xf numFmtId="0" fontId="14" fillId="0" borderId="33" xfId="0" applyNumberFormat="1" applyFont="1" applyFill="1" applyBorder="1" applyAlignment="1" applyProtection="1">
      <alignment horizontal="center" vertical="center" wrapText="1"/>
    </xf>
    <xf numFmtId="0" fontId="14" fillId="0" borderId="88" xfId="0" applyNumberFormat="1" applyFont="1" applyFill="1" applyBorder="1" applyAlignment="1" applyProtection="1">
      <alignment horizontal="center" vertical="center" wrapText="1"/>
    </xf>
    <xf numFmtId="0" fontId="14" fillId="0" borderId="32" xfId="0" applyNumberFormat="1" applyFont="1" applyFill="1" applyBorder="1" applyAlignment="1" applyProtection="1">
      <alignment horizontal="center" vertical="center" wrapText="1"/>
    </xf>
    <xf numFmtId="0" fontId="14" fillId="0" borderId="48" xfId="0" applyNumberFormat="1" applyFont="1" applyFill="1" applyBorder="1" applyAlignment="1" applyProtection="1">
      <alignment horizontal="center" vertical="center" wrapText="1"/>
    </xf>
    <xf numFmtId="0" fontId="14" fillId="0" borderId="24" xfId="0" applyNumberFormat="1" applyFont="1" applyFill="1" applyBorder="1" applyAlignment="1" applyProtection="1">
      <alignment horizontal="center" vertical="center"/>
    </xf>
    <xf numFmtId="0" fontId="14" fillId="0" borderId="25" xfId="0" applyNumberFormat="1" applyFont="1" applyFill="1" applyBorder="1" applyAlignment="1" applyProtection="1">
      <alignment horizontal="center" vertical="center"/>
    </xf>
    <xf numFmtId="0" fontId="14" fillId="0" borderId="26" xfId="0" applyNumberFormat="1" applyFont="1" applyFill="1" applyBorder="1" applyAlignment="1" applyProtection="1">
      <alignment horizontal="center" vertical="center"/>
    </xf>
    <xf numFmtId="0" fontId="14" fillId="0" borderId="84" xfId="0" applyNumberFormat="1" applyFont="1" applyFill="1" applyBorder="1" applyAlignment="1" applyProtection="1">
      <alignment horizontal="center" vertical="center"/>
    </xf>
    <xf numFmtId="0" fontId="14" fillId="0" borderId="53" xfId="0" applyNumberFormat="1" applyFont="1" applyFill="1" applyBorder="1" applyAlignment="1" applyProtection="1">
      <alignment horizontal="center" vertical="center" wrapText="1"/>
    </xf>
    <xf numFmtId="0" fontId="14" fillId="0" borderId="54" xfId="0" applyNumberFormat="1" applyFont="1" applyFill="1" applyBorder="1" applyAlignment="1" applyProtection="1">
      <alignment horizontal="center" vertical="center" wrapText="1"/>
    </xf>
    <xf numFmtId="0" fontId="14" fillId="0" borderId="54" xfId="0" applyNumberFormat="1" applyFont="1" applyFill="1" applyBorder="1" applyAlignment="1" applyProtection="1">
      <alignment horizontal="center" vertical="center" wrapText="1"/>
    </xf>
    <xf numFmtId="0" fontId="14" fillId="0" borderId="73"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xf>
    <xf numFmtId="0" fontId="14" fillId="0" borderId="78" xfId="0" applyNumberFormat="1" applyFont="1" applyFill="1" applyBorder="1" applyAlignment="1" applyProtection="1">
      <alignment horizontal="center" vertical="center"/>
    </xf>
    <xf numFmtId="0" fontId="14" fillId="0" borderId="24" xfId="0" applyNumberFormat="1" applyFont="1" applyFill="1" applyBorder="1" applyAlignment="1" applyProtection="1">
      <alignment horizontal="center" vertical="center"/>
    </xf>
    <xf numFmtId="0" fontId="16" fillId="0" borderId="21" xfId="0" applyNumberFormat="1" applyFont="1" applyFill="1" applyBorder="1" applyAlignment="1" applyProtection="1">
      <alignment horizontal="center" vertical="center" wrapText="1"/>
    </xf>
    <xf numFmtId="0" fontId="14" fillId="0" borderId="94" xfId="0" applyNumberFormat="1" applyFont="1" applyFill="1" applyBorder="1" applyAlignment="1" applyProtection="1">
      <alignment horizontal="center" vertical="center"/>
    </xf>
    <xf numFmtId="0" fontId="14" fillId="0" borderId="71" xfId="0" applyNumberFormat="1" applyFont="1" applyFill="1" applyBorder="1" applyAlignment="1" applyProtection="1">
      <alignment horizontal="center" vertical="top"/>
    </xf>
    <xf numFmtId="0" fontId="14" fillId="0" borderId="30" xfId="0" applyNumberFormat="1" applyFont="1" applyFill="1" applyBorder="1" applyAlignment="1" applyProtection="1">
      <alignment horizontal="center" vertical="top"/>
    </xf>
    <xf numFmtId="0" fontId="14" fillId="0" borderId="87" xfId="0" applyNumberFormat="1" applyFont="1" applyFill="1" applyBorder="1" applyAlignment="1" applyProtection="1">
      <alignment horizontal="center" vertical="top"/>
    </xf>
    <xf numFmtId="0" fontId="14" fillId="0" borderId="29" xfId="0" applyNumberFormat="1" applyFont="1" applyFill="1" applyBorder="1" applyAlignment="1" applyProtection="1">
      <alignment horizontal="center" vertical="top"/>
    </xf>
    <xf numFmtId="0" fontId="14" fillId="0" borderId="46" xfId="0" applyNumberFormat="1" applyFont="1" applyFill="1" applyBorder="1" applyAlignment="1" applyProtection="1">
      <alignment horizontal="center" vertical="top"/>
    </xf>
    <xf numFmtId="0" fontId="14" fillId="0" borderId="0" xfId="0" applyNumberFormat="1" applyFont="1" applyFill="1" applyBorder="1" applyAlignment="1" applyProtection="1">
      <alignment vertical="top"/>
    </xf>
    <xf numFmtId="0" fontId="14" fillId="0" borderId="25" xfId="0" applyNumberFormat="1" applyFont="1" applyFill="1" applyBorder="1" applyAlignment="1" applyProtection="1">
      <alignment horizontal="center" vertical="center"/>
    </xf>
    <xf numFmtId="0" fontId="14" fillId="0" borderId="26" xfId="0" applyNumberFormat="1" applyFont="1" applyFill="1" applyBorder="1" applyAlignment="1" applyProtection="1">
      <alignment horizontal="center" vertical="center"/>
    </xf>
    <xf numFmtId="0" fontId="14" fillId="0" borderId="24" xfId="0" applyNumberFormat="1" applyFont="1" applyFill="1" applyBorder="1" applyAlignment="1" applyProtection="1">
      <alignment horizontal="center" vertical="center"/>
    </xf>
    <xf numFmtId="0" fontId="14" fillId="0" borderId="78" xfId="0" applyNumberFormat="1" applyFont="1" applyFill="1" applyBorder="1" applyAlignment="1" applyProtection="1">
      <alignment horizontal="center" vertical="center"/>
    </xf>
    <xf numFmtId="0" fontId="14" fillId="0" borderId="84" xfId="0" applyNumberFormat="1" applyFont="1" applyFill="1" applyBorder="1" applyAlignment="1" applyProtection="1">
      <alignment horizontal="center" vertical="center"/>
    </xf>
    <xf numFmtId="0" fontId="14" fillId="0" borderId="19" xfId="0" applyNumberFormat="1" applyFont="1" applyFill="1" applyBorder="1" applyAlignment="1" applyProtection="1">
      <alignment horizontal="center" vertical="center" wrapText="1"/>
    </xf>
    <xf numFmtId="0" fontId="14" fillId="0" borderId="25" xfId="0" applyNumberFormat="1" applyFont="1" applyFill="1" applyBorder="1" applyAlignment="1" applyProtection="1">
      <alignment horizontal="center" vertical="top"/>
    </xf>
    <xf numFmtId="0" fontId="14" fillId="0" borderId="26" xfId="0" applyNumberFormat="1" applyFont="1" applyFill="1" applyBorder="1" applyAlignment="1" applyProtection="1">
      <alignment horizontal="center" vertical="top"/>
    </xf>
    <xf numFmtId="0" fontId="14" fillId="0" borderId="29" xfId="0" applyNumberFormat="1" applyFont="1" applyFill="1" applyBorder="1" applyAlignment="1" applyProtection="1">
      <alignment horizontal="center" vertical="center"/>
    </xf>
    <xf numFmtId="0" fontId="14" fillId="0" borderId="30" xfId="0" applyNumberFormat="1" applyFont="1" applyFill="1" applyBorder="1" applyAlignment="1" applyProtection="1">
      <alignment horizontal="center" vertical="center"/>
    </xf>
    <xf numFmtId="0" fontId="14" fillId="0" borderId="42" xfId="0" applyNumberFormat="1" applyFont="1" applyFill="1" applyBorder="1" applyAlignment="1" applyProtection="1">
      <alignment horizontal="center" vertical="center"/>
    </xf>
    <xf numFmtId="0" fontId="14" fillId="0" borderId="71" xfId="0" applyNumberFormat="1" applyFont="1" applyFill="1" applyBorder="1" applyAlignment="1" applyProtection="1">
      <alignment horizontal="center" vertical="center"/>
    </xf>
    <xf numFmtId="0" fontId="14" fillId="0" borderId="87" xfId="0" applyNumberFormat="1" applyFont="1" applyFill="1" applyBorder="1" applyAlignment="1" applyProtection="1">
      <alignment horizontal="center" vertical="center"/>
    </xf>
    <xf numFmtId="0" fontId="14" fillId="0" borderId="46"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center" vertical="center"/>
    </xf>
    <xf numFmtId="0" fontId="14" fillId="0" borderId="21" xfId="0" applyNumberFormat="1" applyFont="1" applyFill="1" applyBorder="1" applyAlignment="1" applyProtection="1">
      <alignment horizontal="center" vertical="center"/>
    </xf>
    <xf numFmtId="0" fontId="17" fillId="0" borderId="44" xfId="0" applyNumberFormat="1" applyFont="1" applyFill="1" applyBorder="1" applyAlignment="1" applyProtection="1">
      <alignment horizontal="right" vertical="center"/>
    </xf>
    <xf numFmtId="0" fontId="20" fillId="0" borderId="0" xfId="0" applyNumberFormat="1" applyFont="1" applyFill="1" applyBorder="1" applyAlignment="1" applyProtection="1">
      <alignment vertical="top"/>
    </xf>
    <xf numFmtId="0" fontId="20" fillId="8" borderId="0"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16" fillId="0" borderId="83" xfId="0" applyNumberFormat="1" applyFont="1" applyFill="1" applyBorder="1" applyAlignment="1" applyProtection="1">
      <alignment horizontal="center" vertical="center"/>
    </xf>
    <xf numFmtId="0" fontId="16" fillId="0" borderId="21" xfId="0" applyNumberFormat="1" applyFont="1" applyFill="1" applyBorder="1" applyAlignment="1" applyProtection="1">
      <alignment horizontal="center" vertical="center"/>
    </xf>
    <xf numFmtId="0" fontId="16" fillId="0" borderId="23" xfId="0" applyNumberFormat="1" applyFont="1" applyFill="1" applyBorder="1" applyAlignment="1" applyProtection="1">
      <alignment horizontal="center" vertical="center"/>
    </xf>
    <xf numFmtId="0" fontId="16" fillId="0" borderId="30" xfId="0" applyNumberFormat="1" applyFont="1" applyFill="1" applyBorder="1" applyAlignment="1" applyProtection="1">
      <alignment horizontal="center" vertical="center"/>
    </xf>
    <xf numFmtId="0" fontId="16" fillId="0" borderId="87" xfId="0" applyNumberFormat="1" applyFont="1" applyFill="1" applyBorder="1" applyAlignment="1" applyProtection="1">
      <alignment horizontal="center" vertical="center"/>
    </xf>
    <xf numFmtId="0" fontId="16" fillId="0" borderId="29" xfId="0" applyNumberFormat="1" applyFont="1" applyFill="1" applyBorder="1" applyAlignment="1" applyProtection="1">
      <alignment horizontal="center" vertical="center"/>
    </xf>
    <xf numFmtId="0" fontId="16" fillId="0" borderId="94" xfId="0" applyNumberFormat="1" applyFont="1" applyFill="1" applyBorder="1" applyAlignment="1" applyProtection="1">
      <alignment horizontal="center" vertical="center"/>
    </xf>
    <xf numFmtId="0" fontId="16" fillId="0" borderId="16" xfId="0" applyNumberFormat="1" applyFont="1" applyFill="1" applyBorder="1" applyAlignment="1" applyProtection="1">
      <alignment horizontal="center" vertical="center"/>
    </xf>
    <xf numFmtId="0" fontId="16" fillId="0" borderId="18" xfId="0" applyNumberFormat="1" applyFont="1" applyFill="1" applyBorder="1" applyAlignment="1" applyProtection="1">
      <alignment horizontal="center" vertical="center"/>
    </xf>
    <xf numFmtId="0" fontId="16" fillId="0" borderId="81" xfId="0" applyNumberFormat="1" applyFont="1" applyFill="1" applyBorder="1" applyAlignment="1" applyProtection="1">
      <alignment horizontal="center" vertical="center"/>
    </xf>
    <xf numFmtId="0" fontId="16" fillId="0" borderId="19" xfId="0" applyNumberFormat="1" applyFont="1" applyFill="1" applyBorder="1" applyAlignment="1" applyProtection="1">
      <alignment horizontal="left" vertical="center"/>
    </xf>
    <xf numFmtId="0" fontId="16" fillId="0" borderId="20" xfId="0" applyNumberFormat="1" applyFont="1" applyFill="1" applyBorder="1" applyAlignment="1" applyProtection="1">
      <alignment horizontal="center" vertical="center"/>
    </xf>
    <xf numFmtId="0" fontId="16" fillId="0" borderId="22" xfId="0" applyNumberFormat="1" applyFont="1" applyFill="1" applyBorder="1" applyAlignment="1" applyProtection="1">
      <alignment horizontal="left" vertical="center"/>
    </xf>
    <xf numFmtId="0" fontId="16" fillId="0" borderId="22" xfId="0" applyNumberFormat="1" applyFont="1" applyFill="1" applyBorder="1" applyAlignment="1" applyProtection="1">
      <alignment horizontal="left" vertical="center" wrapText="1"/>
    </xf>
    <xf numFmtId="0" fontId="16" fillId="0" borderId="24" xfId="0" applyNumberFormat="1" applyFont="1" applyFill="1" applyBorder="1" applyAlignment="1" applyProtection="1">
      <alignment horizontal="left" vertical="center"/>
    </xf>
    <xf numFmtId="0" fontId="16" fillId="0" borderId="84" xfId="0" applyNumberFormat="1" applyFont="1" applyFill="1" applyBorder="1" applyAlignment="1" applyProtection="1">
      <alignment horizontal="left" vertical="center"/>
    </xf>
    <xf numFmtId="0" fontId="16" fillId="0" borderId="25" xfId="0" applyNumberFormat="1" applyFont="1" applyFill="1" applyBorder="1" applyAlignment="1" applyProtection="1">
      <alignment horizontal="left" vertical="center"/>
    </xf>
    <xf numFmtId="0" fontId="16" fillId="0" borderId="26" xfId="0" applyNumberFormat="1" applyFont="1" applyFill="1" applyBorder="1" applyAlignment="1" applyProtection="1">
      <alignment horizontal="center" vertical="center"/>
    </xf>
    <xf numFmtId="0" fontId="17" fillId="0" borderId="43" xfId="0" applyNumberFormat="1" applyFont="1" applyFill="1" applyBorder="1" applyAlignment="1" applyProtection="1">
      <alignment horizontal="right" vertical="center"/>
    </xf>
    <xf numFmtId="0" fontId="16" fillId="0" borderId="32" xfId="0" applyNumberFormat="1" applyFont="1" applyFill="1" applyBorder="1" applyAlignment="1" applyProtection="1">
      <alignment horizontal="center" vertical="center"/>
    </xf>
    <xf numFmtId="0" fontId="16" fillId="0" borderId="33" xfId="0" applyNumberFormat="1" applyFont="1" applyFill="1" applyBorder="1" applyAlignment="1" applyProtection="1">
      <alignment horizontal="left" vertical="center" wrapText="1"/>
    </xf>
    <xf numFmtId="0" fontId="16" fillId="0" borderId="83" xfId="0" applyNumberFormat="1" applyFont="1" applyFill="1" applyBorder="1" applyAlignment="1" applyProtection="1">
      <alignment horizontal="left" vertical="center"/>
    </xf>
    <xf numFmtId="0" fontId="16" fillId="0" borderId="22" xfId="0" applyNumberFormat="1" applyFont="1" applyFill="1" applyBorder="1" applyAlignment="1" applyProtection="1">
      <alignment horizontal="left" vertical="center" wrapText="1"/>
    </xf>
    <xf numFmtId="0" fontId="16" fillId="0" borderId="29" xfId="0" applyNumberFormat="1" applyFont="1" applyFill="1" applyBorder="1" applyAlignment="1" applyProtection="1">
      <alignment horizontal="left" vertical="center"/>
    </xf>
    <xf numFmtId="0" fontId="16" fillId="0" borderId="33" xfId="0" applyNumberFormat="1" applyFont="1" applyFill="1" applyBorder="1" applyAlignment="1" applyProtection="1">
      <alignment horizontal="center" vertical="center"/>
    </xf>
    <xf numFmtId="0" fontId="16" fillId="0" borderId="88" xfId="0" applyNumberFormat="1" applyFont="1" applyFill="1" applyBorder="1" applyAlignment="1" applyProtection="1">
      <alignment horizontal="left" vertical="center" wrapText="1"/>
    </xf>
    <xf numFmtId="0" fontId="16" fillId="0" borderId="24" xfId="0" applyNumberFormat="1" applyFont="1" applyFill="1" applyBorder="1" applyAlignment="1" applyProtection="1">
      <alignment horizontal="center" vertical="center"/>
    </xf>
    <xf numFmtId="0" fontId="16" fillId="0" borderId="94" xfId="0" applyNumberFormat="1" applyFont="1" applyFill="1" applyBorder="1" applyAlignment="1" applyProtection="1">
      <alignment horizontal="left" vertical="center"/>
    </xf>
    <xf numFmtId="0" fontId="17" fillId="0" borderId="52" xfId="0" applyNumberFormat="1" applyFont="1" applyFill="1" applyBorder="1" applyAlignment="1" applyProtection="1">
      <alignment horizontal="right" vertical="center"/>
    </xf>
    <xf numFmtId="0" fontId="16" fillId="0" borderId="84" xfId="0" applyNumberFormat="1" applyFont="1" applyFill="1" applyBorder="1" applyAlignment="1" applyProtection="1">
      <alignment horizontal="center" vertical="center"/>
    </xf>
    <xf numFmtId="0" fontId="16" fillId="0" borderId="88" xfId="0" applyNumberFormat="1" applyFont="1" applyFill="1" applyBorder="1" applyAlignment="1" applyProtection="1">
      <alignment horizontal="center" vertical="center"/>
    </xf>
    <xf numFmtId="0" fontId="14" fillId="0" borderId="21" xfId="0" applyNumberFormat="1" applyFont="1" applyFill="1" applyBorder="1" applyAlignment="1" applyProtection="1">
      <alignment horizontal="center" vertical="center" wrapText="1"/>
    </xf>
    <xf numFmtId="0" fontId="14" fillId="0" borderId="29" xfId="0" applyNumberFormat="1" applyFont="1" applyFill="1" applyBorder="1" applyAlignment="1" applyProtection="1">
      <alignment horizontal="center" vertical="center" wrapText="1"/>
    </xf>
    <xf numFmtId="0" fontId="14" fillId="0" borderId="30" xfId="0" applyNumberFormat="1" applyFont="1" applyFill="1" applyBorder="1" applyAlignment="1" applyProtection="1">
      <alignment horizontal="center" vertical="center" wrapText="1"/>
    </xf>
    <xf numFmtId="0" fontId="14" fillId="0" borderId="22" xfId="0" applyNumberFormat="1" applyFont="1" applyFill="1" applyBorder="1" applyAlignment="1" applyProtection="1">
      <alignment horizontal="center" vertical="center" wrapText="1"/>
    </xf>
    <xf numFmtId="0" fontId="16" fillId="0" borderId="25" xfId="0" applyNumberFormat="1" applyFont="1" applyFill="1" applyBorder="1" applyAlignment="1" applyProtection="1">
      <alignment horizontal="center" vertical="center"/>
    </xf>
    <xf numFmtId="0" fontId="16" fillId="0" borderId="25" xfId="0" applyNumberFormat="1" applyFont="1" applyFill="1" applyBorder="1" applyAlignment="1" applyProtection="1">
      <alignment horizontal="center" vertical="top"/>
    </xf>
    <xf numFmtId="0" fontId="16" fillId="0" borderId="19" xfId="0" applyNumberFormat="1" applyFont="1" applyFill="1" applyBorder="1" applyAlignment="1" applyProtection="1">
      <alignment horizontal="center" vertical="center"/>
    </xf>
    <xf numFmtId="0" fontId="42" fillId="0" borderId="0" xfId="0" applyFont="1"/>
    <xf numFmtId="0" fontId="16" fillId="0" borderId="0" xfId="0" applyNumberFormat="1" applyFont="1" applyFill="1" applyBorder="1" applyAlignment="1" applyProtection="1">
      <alignment horizontal="center" vertical="top"/>
    </xf>
    <xf numFmtId="0" fontId="42" fillId="0" borderId="0" xfId="0" applyFont="1" applyAlignment="1">
      <alignment horizontal="center"/>
    </xf>
    <xf numFmtId="0" fontId="17" fillId="0" borderId="42" xfId="0" applyNumberFormat="1" applyFont="1" applyFill="1" applyBorder="1" applyAlignment="1" applyProtection="1">
      <alignment horizontal="left" vertical="center"/>
    </xf>
    <xf numFmtId="0" fontId="17" fillId="0" borderId="43" xfId="0" applyNumberFormat="1" applyFont="1" applyFill="1" applyBorder="1" applyAlignment="1" applyProtection="1">
      <alignment horizontal="center" vertical="center"/>
    </xf>
    <xf numFmtId="0" fontId="17" fillId="0" borderId="42" xfId="0" applyNumberFormat="1" applyFont="1" applyFill="1" applyBorder="1" applyAlignment="1" applyProtection="1">
      <alignment horizontal="right" vertical="center"/>
    </xf>
    <xf numFmtId="0" fontId="17" fillId="0" borderId="52" xfId="0" applyNumberFormat="1" applyFont="1" applyFill="1" applyBorder="1" applyAlignment="1" applyProtection="1">
      <alignment horizontal="center" vertical="center"/>
    </xf>
    <xf numFmtId="0" fontId="17" fillId="0" borderId="44" xfId="0" applyNumberFormat="1" applyFont="1" applyFill="1" applyBorder="1" applyAlignment="1" applyProtection="1">
      <alignment horizontal="center" vertical="center"/>
    </xf>
    <xf numFmtId="0" fontId="17" fillId="0" borderId="94" xfId="0" applyNumberFormat="1" applyFont="1" applyFill="1" applyBorder="1" applyAlignment="1" applyProtection="1">
      <alignment horizontal="left" vertical="center"/>
    </xf>
    <xf numFmtId="0" fontId="17" fillId="0" borderId="16" xfId="0" applyNumberFormat="1" applyFont="1" applyFill="1" applyBorder="1" applyAlignment="1" applyProtection="1">
      <alignment horizontal="center" vertical="center"/>
    </xf>
    <xf numFmtId="0" fontId="17" fillId="0" borderId="17" xfId="0" applyNumberFormat="1" applyFont="1" applyFill="1" applyBorder="1" applyAlignment="1" applyProtection="1">
      <alignment horizontal="center" vertical="center"/>
    </xf>
    <xf numFmtId="0" fontId="17" fillId="8"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16" fillId="0" borderId="19" xfId="0" applyNumberFormat="1" applyFont="1" applyFill="1" applyBorder="1" applyAlignment="1" applyProtection="1">
      <alignment horizontal="left" vertical="center" wrapText="1"/>
    </xf>
    <xf numFmtId="0" fontId="16" fillId="0" borderId="25" xfId="0" applyNumberFormat="1" applyFont="1" applyFill="1" applyBorder="1" applyAlignment="1" applyProtection="1">
      <alignment horizontal="left" vertical="center" wrapText="1"/>
    </xf>
    <xf numFmtId="0" fontId="16" fillId="0" borderId="23" xfId="0" applyNumberFormat="1" applyFont="1" applyFill="1" applyBorder="1" applyAlignment="1" applyProtection="1">
      <alignment horizontal="left" vertical="center" wrapText="1"/>
    </xf>
    <xf numFmtId="0" fontId="16" fillId="0" borderId="46" xfId="0" applyNumberFormat="1" applyFont="1" applyFill="1" applyBorder="1" applyAlignment="1" applyProtection="1">
      <alignment horizontal="left" vertical="center" wrapText="1"/>
    </xf>
    <xf numFmtId="0" fontId="17" fillId="8" borderId="0" xfId="0" applyNumberFormat="1" applyFont="1" applyFill="1" applyBorder="1" applyAlignment="1" applyProtection="1">
      <alignment vertical="top"/>
    </xf>
    <xf numFmtId="0" fontId="17" fillId="8" borderId="0" xfId="0" applyNumberFormat="1" applyFont="1" applyFill="1" applyBorder="1" applyAlignment="1" applyProtection="1">
      <alignment horizontal="center" vertical="top"/>
    </xf>
    <xf numFmtId="0" fontId="43" fillId="8" borderId="0" xfId="0" applyFont="1" applyFill="1"/>
    <xf numFmtId="0" fontId="16" fillId="0" borderId="24" xfId="0" applyNumberFormat="1" applyFont="1" applyFill="1" applyBorder="1" applyAlignment="1" applyProtection="1">
      <alignment horizontal="center" vertical="top"/>
    </xf>
    <xf numFmtId="0" fontId="16" fillId="0" borderId="94" xfId="0" applyNumberFormat="1" applyFont="1" applyFill="1" applyBorder="1" applyAlignment="1" applyProtection="1">
      <alignment horizontal="center" vertical="top"/>
    </xf>
    <xf numFmtId="0" fontId="16" fillId="0" borderId="16" xfId="0" applyNumberFormat="1" applyFont="1" applyFill="1" applyBorder="1" applyAlignment="1" applyProtection="1">
      <alignment horizontal="center" vertical="top"/>
    </xf>
    <xf numFmtId="0" fontId="16" fillId="0" borderId="16" xfId="0" applyNumberFormat="1" applyFont="1" applyFill="1" applyBorder="1" applyAlignment="1" applyProtection="1">
      <alignment horizontal="center" vertical="center"/>
    </xf>
    <xf numFmtId="4" fontId="16" fillId="0" borderId="0" xfId="0" applyNumberFormat="1" applyFont="1" applyFill="1" applyBorder="1" applyAlignment="1" applyProtection="1">
      <alignment vertical="top" wrapText="1"/>
    </xf>
    <xf numFmtId="0" fontId="16" fillId="0" borderId="0" xfId="0" applyNumberFormat="1" applyFont="1" applyFill="1" applyBorder="1" applyAlignment="1" applyProtection="1">
      <alignment vertical="top" wrapText="1"/>
    </xf>
    <xf numFmtId="0" fontId="17" fillId="0" borderId="0" xfId="0" applyNumberFormat="1" applyFont="1" applyFill="1" applyBorder="1" applyAlignment="1" applyProtection="1">
      <alignment vertical="top"/>
    </xf>
    <xf numFmtId="0" fontId="14" fillId="0" borderId="23" xfId="0" applyNumberFormat="1" applyFont="1" applyFill="1" applyBorder="1" applyAlignment="1" applyProtection="1">
      <alignment horizontal="center" vertical="center" wrapText="1"/>
    </xf>
    <xf numFmtId="0" fontId="16" fillId="0" borderId="29" xfId="0" applyNumberFormat="1" applyFont="1" applyFill="1" applyBorder="1" applyAlignment="1" applyProtection="1">
      <alignment horizontal="center" vertical="center" wrapText="1"/>
    </xf>
    <xf numFmtId="0" fontId="16" fillId="0" borderId="30" xfId="0" applyNumberFormat="1" applyFont="1" applyFill="1" applyBorder="1" applyAlignment="1" applyProtection="1">
      <alignment horizontal="center" vertical="center" wrapText="1"/>
    </xf>
    <xf numFmtId="0" fontId="14" fillId="0" borderId="25" xfId="0" applyNumberFormat="1" applyFont="1" applyFill="1" applyBorder="1" applyAlignment="1" applyProtection="1">
      <alignment horizontal="center" vertical="center" wrapText="1"/>
    </xf>
    <xf numFmtId="0" fontId="17" fillId="0" borderId="44" xfId="0" applyNumberFormat="1" applyFont="1" applyFill="1" applyBorder="1" applyAlignment="1" applyProtection="1">
      <alignment horizontal="right" vertical="center" wrapText="1"/>
    </xf>
    <xf numFmtId="0" fontId="14" fillId="0" borderId="26" xfId="0" applyNumberFormat="1" applyFont="1" applyFill="1" applyBorder="1" applyAlignment="1" applyProtection="1">
      <alignment horizontal="center" vertical="center" wrapText="1"/>
    </xf>
    <xf numFmtId="0" fontId="14" fillId="0" borderId="46" xfId="0" applyNumberFormat="1" applyFont="1" applyFill="1" applyBorder="1" applyAlignment="1" applyProtection="1">
      <alignment horizontal="center" vertical="center" wrapText="1"/>
    </xf>
    <xf numFmtId="0" fontId="16" fillId="0" borderId="32" xfId="0" applyNumberFormat="1" applyFont="1" applyFill="1" applyBorder="1" applyAlignment="1" applyProtection="1">
      <alignment horizontal="center" vertical="center" wrapText="1"/>
    </xf>
    <xf numFmtId="0" fontId="16" fillId="0" borderId="33" xfId="0" applyNumberFormat="1" applyFont="1" applyFill="1" applyBorder="1" applyAlignment="1" applyProtection="1">
      <alignment horizontal="center" vertical="center" wrapText="1"/>
    </xf>
    <xf numFmtId="0" fontId="16" fillId="0" borderId="48" xfId="0" applyNumberFormat="1" applyFont="1" applyFill="1" applyBorder="1" applyAlignment="1" applyProtection="1">
      <alignment horizontal="left" vertical="center" wrapText="1"/>
    </xf>
    <xf numFmtId="0" fontId="14" fillId="0" borderId="24" xfId="0" applyNumberFormat="1" applyFont="1" applyFill="1" applyBorder="1" applyAlignment="1" applyProtection="1">
      <alignment horizontal="center" vertical="center" wrapText="1"/>
    </xf>
    <xf numFmtId="0" fontId="14" fillId="0" borderId="70" xfId="0" applyNumberFormat="1" applyFont="1" applyFill="1" applyBorder="1" applyAlignment="1" applyProtection="1">
      <alignment horizontal="center" vertical="center" wrapText="1"/>
    </xf>
    <xf numFmtId="0" fontId="14" fillId="0" borderId="41" xfId="0" applyNumberFormat="1" applyFont="1" applyFill="1" applyBorder="1" applyAlignment="1" applyProtection="1">
      <alignment horizontal="center" vertical="center" wrapText="1"/>
    </xf>
    <xf numFmtId="0" fontId="14" fillId="0" borderId="28" xfId="0" applyNumberFormat="1" applyFont="1" applyFill="1" applyBorder="1" applyAlignment="1" applyProtection="1">
      <alignment horizontal="center" vertical="center" wrapText="1"/>
    </xf>
    <xf numFmtId="0" fontId="14" fillId="0" borderId="72" xfId="0" applyNumberFormat="1" applyFont="1" applyFill="1" applyBorder="1" applyAlignment="1" applyProtection="1">
      <alignment horizontal="center" vertical="center" wrapText="1"/>
    </xf>
    <xf numFmtId="0" fontId="16" fillId="0" borderId="53"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left" vertical="center"/>
    </xf>
    <xf numFmtId="0" fontId="16" fillId="0" borderId="26" xfId="0" applyNumberFormat="1" applyFont="1" applyFill="1" applyBorder="1" applyAlignment="1" applyProtection="1">
      <alignment horizontal="left" vertical="center" wrapText="1"/>
    </xf>
    <xf numFmtId="0" fontId="17" fillId="0" borderId="95"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vertical="center"/>
    </xf>
    <xf numFmtId="0" fontId="14" fillId="0" borderId="72" xfId="0" applyNumberFormat="1" applyFont="1" applyFill="1" applyBorder="1" applyAlignment="1" applyProtection="1">
      <alignment horizontal="center" vertical="top" wrapText="1"/>
    </xf>
    <xf numFmtId="0" fontId="14" fillId="0" borderId="71"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6" fillId="0" borderId="81" xfId="0" applyNumberFormat="1" applyFont="1" applyFill="1" applyBorder="1" applyAlignment="1" applyProtection="1">
      <alignment horizontal="left" vertical="center" wrapText="1"/>
    </xf>
    <xf numFmtId="0" fontId="16" fillId="0" borderId="83" xfId="0" applyNumberFormat="1" applyFont="1" applyFill="1" applyBorder="1" applyAlignment="1" applyProtection="1">
      <alignment horizontal="left" vertical="center" wrapText="1"/>
    </xf>
    <xf numFmtId="0" fontId="16" fillId="0" borderId="84" xfId="0" applyNumberFormat="1" applyFont="1" applyFill="1" applyBorder="1" applyAlignment="1" applyProtection="1">
      <alignment horizontal="left" vertical="center" wrapText="1"/>
    </xf>
    <xf numFmtId="0" fontId="16" fillId="0" borderId="94" xfId="0" applyNumberFormat="1" applyFont="1" applyFill="1" applyBorder="1" applyAlignment="1" applyProtection="1">
      <alignment horizontal="right" vertical="center"/>
    </xf>
    <xf numFmtId="0" fontId="17" fillId="0" borderId="17" xfId="0" applyNumberFormat="1" applyFont="1" applyFill="1" applyBorder="1" applyAlignment="1" applyProtection="1">
      <alignment horizontal="right" vertical="center"/>
    </xf>
    <xf numFmtId="0" fontId="16" fillId="0" borderId="81"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top" indent="4"/>
    </xf>
    <xf numFmtId="0" fontId="14" fillId="0" borderId="0" xfId="0" applyNumberFormat="1" applyFont="1" applyFill="1" applyBorder="1" applyAlignment="1" applyProtection="1">
      <alignment horizontal="left" vertical="center" indent="4"/>
    </xf>
    <xf numFmtId="0" fontId="14" fillId="0" borderId="49" xfId="0" applyNumberFormat="1" applyFont="1" applyFill="1" applyBorder="1" applyAlignment="1" applyProtection="1">
      <alignment horizontal="center" vertical="center" wrapText="1"/>
    </xf>
    <xf numFmtId="0" fontId="14" fillId="0" borderId="50" xfId="0" applyNumberFormat="1" applyFont="1" applyFill="1" applyBorder="1" applyAlignment="1" applyProtection="1">
      <alignment horizontal="center" vertical="center" wrapText="1"/>
    </xf>
    <xf numFmtId="0" fontId="14" fillId="0" borderId="51" xfId="0" applyNumberFormat="1" applyFont="1" applyFill="1" applyBorder="1" applyAlignment="1" applyProtection="1">
      <alignment horizontal="center" vertical="center" wrapText="1"/>
    </xf>
    <xf numFmtId="0" fontId="16" fillId="0" borderId="42" xfId="0" applyNumberFormat="1" applyFont="1" applyFill="1" applyBorder="1" applyAlignment="1" applyProtection="1">
      <alignment horizontal="left" vertical="center"/>
    </xf>
    <xf numFmtId="0" fontId="16" fillId="0" borderId="43" xfId="0" applyNumberFormat="1" applyFont="1" applyFill="1" applyBorder="1" applyAlignment="1" applyProtection="1">
      <alignment horizontal="left" vertical="center"/>
    </xf>
    <xf numFmtId="0" fontId="16" fillId="0" borderId="43" xfId="0" applyNumberFormat="1" applyFont="1" applyFill="1" applyBorder="1" applyAlignment="1" applyProtection="1">
      <alignment horizontal="center" vertical="center"/>
    </xf>
    <xf numFmtId="0" fontId="16" fillId="0" borderId="87" xfId="0" applyNumberFormat="1" applyFont="1" applyFill="1" applyBorder="1" applyAlignment="1" applyProtection="1">
      <alignment horizontal="left" vertical="center"/>
    </xf>
    <xf numFmtId="0" fontId="17" fillId="0" borderId="52"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center" vertical="center"/>
    </xf>
    <xf numFmtId="0" fontId="14" fillId="0" borderId="85" xfId="0" applyNumberFormat="1" applyFont="1" applyFill="1" applyBorder="1" applyAlignment="1" applyProtection="1">
      <alignment horizontal="center" vertical="top" wrapText="1"/>
    </xf>
    <xf numFmtId="0" fontId="16" fillId="0" borderId="21" xfId="0" applyNumberFormat="1" applyFont="1" applyFill="1" applyBorder="1" applyAlignment="1" applyProtection="1">
      <alignment horizontal="left" vertical="center"/>
    </xf>
    <xf numFmtId="0" fontId="34" fillId="0" borderId="18"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xf>
    <xf numFmtId="0" fontId="16" fillId="0" borderId="29" xfId="0" applyNumberFormat="1" applyFont="1" applyFill="1" applyBorder="1" applyAlignment="1" applyProtection="1">
      <alignment horizontal="center" vertical="top"/>
    </xf>
    <xf numFmtId="0" fontId="16" fillId="0" borderId="30" xfId="0" applyNumberFormat="1" applyFont="1" applyFill="1" applyBorder="1" applyAlignment="1" applyProtection="1">
      <alignment horizontal="center" vertical="top"/>
    </xf>
    <xf numFmtId="0" fontId="16" fillId="0" borderId="87" xfId="0" applyNumberFormat="1" applyFont="1" applyFill="1" applyBorder="1" applyAlignment="1" applyProtection="1">
      <alignment horizontal="left" vertical="top" indent="8"/>
    </xf>
    <xf numFmtId="0" fontId="34" fillId="0" borderId="72" xfId="0" applyNumberFormat="1" applyFont="1" applyFill="1" applyBorder="1" applyAlignment="1" applyProtection="1">
      <alignment horizontal="center" vertical="top" wrapText="1"/>
    </xf>
    <xf numFmtId="0" fontId="34" fillId="0" borderId="21" xfId="0" applyNumberFormat="1" applyFont="1" applyFill="1" applyBorder="1" applyAlignment="1" applyProtection="1">
      <alignment horizontal="center" vertical="top" wrapText="1"/>
    </xf>
    <xf numFmtId="0" fontId="34" fillId="0" borderId="18" xfId="0" applyNumberFormat="1" applyFont="1" applyFill="1" applyBorder="1" applyAlignment="1" applyProtection="1">
      <alignment horizontal="center" vertical="top" wrapText="1"/>
    </xf>
    <xf numFmtId="0" fontId="34" fillId="0" borderId="85" xfId="0" applyNumberFormat="1" applyFont="1" applyFill="1" applyBorder="1" applyAlignment="1" applyProtection="1">
      <alignment horizontal="center" vertical="top" wrapText="1"/>
    </xf>
    <xf numFmtId="0" fontId="16" fillId="0" borderId="24" xfId="0" applyNumberFormat="1" applyFont="1" applyFill="1" applyBorder="1" applyAlignment="1" applyProtection="1">
      <alignment horizontal="left" vertical="top" indent="3"/>
    </xf>
    <xf numFmtId="0" fontId="16" fillId="0" borderId="25" xfId="0" applyNumberFormat="1" applyFont="1" applyFill="1" applyBorder="1" applyAlignment="1" applyProtection="1">
      <alignment horizontal="left" vertical="top" indent="3"/>
    </xf>
    <xf numFmtId="0" fontId="16" fillId="0" borderId="26" xfId="0" applyNumberFormat="1" applyFont="1" applyFill="1" applyBorder="1" applyAlignment="1" applyProtection="1">
      <alignment horizontal="left" vertical="top" indent="3"/>
    </xf>
    <xf numFmtId="0" fontId="16" fillId="0" borderId="26" xfId="0" applyNumberFormat="1" applyFont="1" applyFill="1" applyBorder="1" applyAlignment="1" applyProtection="1">
      <alignment horizontal="center" vertical="top"/>
    </xf>
    <xf numFmtId="0" fontId="16" fillId="0" borderId="78" xfId="0"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right" vertical="top"/>
    </xf>
    <xf numFmtId="0" fontId="16" fillId="0" borderId="84" xfId="0" applyNumberFormat="1" applyFont="1" applyFill="1" applyBorder="1" applyAlignment="1" applyProtection="1">
      <alignment horizontal="left" vertical="top" indent="8"/>
    </xf>
    <xf numFmtId="0" fontId="16" fillId="0" borderId="23" xfId="0" applyNumberFormat="1" applyFont="1" applyFill="1" applyBorder="1" applyAlignment="1" applyProtection="1">
      <alignment horizontal="left" vertical="center"/>
    </xf>
    <xf numFmtId="0" fontId="17" fillId="0" borderId="84"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left" vertical="center"/>
    </xf>
    <xf numFmtId="0" fontId="16" fillId="0" borderId="87" xfId="0" applyNumberFormat="1" applyFont="1" applyFill="1" applyBorder="1" applyAlignment="1" applyProtection="1">
      <alignment horizontal="left" vertical="center" wrapText="1"/>
    </xf>
    <xf numFmtId="0" fontId="17" fillId="0" borderId="43" xfId="0" applyNumberFormat="1" applyFont="1" applyFill="1" applyBorder="1" applyAlignment="1" applyProtection="1">
      <alignment vertical="center"/>
    </xf>
    <xf numFmtId="4" fontId="16" fillId="0" borderId="93" xfId="0" applyNumberFormat="1" applyFont="1" applyFill="1" applyBorder="1" applyAlignment="1" applyProtection="1">
      <alignment horizontal="center" vertical="center" shrinkToFit="1"/>
    </xf>
    <xf numFmtId="4" fontId="16" fillId="0" borderId="43" xfId="0" applyNumberFormat="1" applyFont="1" applyFill="1" applyBorder="1" applyAlignment="1" applyProtection="1">
      <alignment horizontal="center" vertical="center" shrinkToFit="1"/>
    </xf>
    <xf numFmtId="4" fontId="16" fillId="0" borderId="44" xfId="0" applyNumberFormat="1" applyFont="1" applyFill="1" applyBorder="1" applyAlignment="1" applyProtection="1">
      <alignment horizontal="center" vertical="center" shrinkToFit="1"/>
    </xf>
    <xf numFmtId="4" fontId="16" fillId="0" borderId="32" xfId="0" applyNumberFormat="1" applyFont="1" applyFill="1" applyBorder="1" applyAlignment="1" applyProtection="1">
      <alignment horizontal="center" vertical="center" shrinkToFit="1"/>
    </xf>
    <xf numFmtId="4" fontId="16" fillId="0" borderId="42" xfId="0" applyNumberFormat="1" applyFont="1" applyFill="1" applyBorder="1" applyAlignment="1" applyProtection="1">
      <alignment horizontal="center" vertical="center" shrinkToFit="1"/>
    </xf>
    <xf numFmtId="0" fontId="14" fillId="0" borderId="25" xfId="0" applyNumberFormat="1" applyFont="1" applyFill="1" applyBorder="1" applyAlignment="1" applyProtection="1">
      <alignment horizontal="center" vertical="top"/>
    </xf>
    <xf numFmtId="0" fontId="14" fillId="0" borderId="26" xfId="0" applyNumberFormat="1" applyFont="1" applyFill="1" applyBorder="1" applyAlignment="1" applyProtection="1">
      <alignment horizontal="center" vertical="top"/>
    </xf>
    <xf numFmtId="0" fontId="16" fillId="0" borderId="16" xfId="0" applyNumberFormat="1" applyFont="1" applyFill="1" applyBorder="1" applyAlignment="1" applyProtection="1">
      <alignment horizontal="center" vertical="center"/>
    </xf>
    <xf numFmtId="0" fontId="16" fillId="0" borderId="84" xfId="0" applyNumberFormat="1" applyFont="1" applyFill="1" applyBorder="1" applyAlignment="1" applyProtection="1">
      <alignment horizontal="left" vertical="center" wrapText="1"/>
    </xf>
    <xf numFmtId="0" fontId="17" fillId="0" borderId="17" xfId="0" applyNumberFormat="1" applyFont="1" applyFill="1" applyBorder="1" applyAlignment="1" applyProtection="1">
      <alignment horizontal="right" vertical="center"/>
    </xf>
    <xf numFmtId="0" fontId="16" fillId="0" borderId="83" xfId="0" applyNumberFormat="1" applyFont="1" applyFill="1" applyBorder="1" applyAlignment="1" applyProtection="1">
      <alignment horizontal="left" vertical="center" wrapText="1"/>
    </xf>
    <xf numFmtId="0" fontId="14" fillId="0" borderId="25" xfId="0" applyNumberFormat="1" applyFont="1" applyFill="1" applyBorder="1" applyAlignment="1" applyProtection="1">
      <alignment horizontal="center" vertical="center"/>
    </xf>
    <xf numFmtId="0" fontId="14" fillId="0" borderId="24" xfId="0" applyNumberFormat="1" applyFont="1" applyFill="1" applyBorder="1" applyAlignment="1" applyProtection="1">
      <alignment horizontal="center" vertical="center"/>
    </xf>
    <xf numFmtId="0" fontId="14" fillId="0" borderId="29" xfId="0" applyNumberFormat="1" applyFont="1" applyFill="1" applyBorder="1" applyAlignment="1" applyProtection="1">
      <alignment horizontal="center" vertical="center"/>
    </xf>
    <xf numFmtId="0" fontId="14" fillId="0" borderId="25" xfId="0" applyNumberFormat="1" applyFont="1" applyFill="1" applyBorder="1" applyAlignment="1" applyProtection="1">
      <alignment horizontal="center" vertical="top"/>
    </xf>
    <xf numFmtId="0" fontId="14" fillId="0" borderId="84" xfId="0" applyNumberFormat="1" applyFont="1" applyFill="1" applyBorder="1" applyAlignment="1" applyProtection="1">
      <alignment horizontal="center" vertical="center"/>
    </xf>
    <xf numFmtId="4" fontId="0" fillId="0" borderId="0" xfId="0" applyNumberFormat="1"/>
    <xf numFmtId="0" fontId="14" fillId="0" borderId="3" xfId="0" applyNumberFormat="1" applyFont="1" applyFill="1" applyBorder="1" applyAlignment="1" applyProtection="1">
      <alignment horizontal="center" vertical="center"/>
    </xf>
    <xf numFmtId="0" fontId="0" fillId="0" borderId="3" xfId="0" applyFont="1" applyBorder="1"/>
    <xf numFmtId="0" fontId="14" fillId="0" borderId="84" xfId="0" applyNumberFormat="1" applyFont="1" applyFill="1" applyBorder="1" applyAlignment="1" applyProtection="1">
      <alignment horizontal="center" vertical="top"/>
    </xf>
    <xf numFmtId="0" fontId="14" fillId="0" borderId="25" xfId="0" quotePrefix="1" applyNumberFormat="1" applyFont="1" applyFill="1" applyBorder="1" applyAlignment="1" applyProtection="1">
      <alignment horizontal="center" vertical="center"/>
    </xf>
    <xf numFmtId="0" fontId="17" fillId="0" borderId="43" xfId="0" applyNumberFormat="1" applyFont="1" applyFill="1" applyBorder="1" applyAlignment="1" applyProtection="1">
      <alignment horizontal="center" vertical="center"/>
    </xf>
    <xf numFmtId="0" fontId="14" fillId="0" borderId="16" xfId="0" applyNumberFormat="1" applyFont="1" applyFill="1" applyBorder="1" applyAlignment="1" applyProtection="1">
      <alignment horizontal="center" vertical="top"/>
    </xf>
    <xf numFmtId="0" fontId="14" fillId="0" borderId="19" xfId="0" applyNumberFormat="1" applyFont="1" applyFill="1" applyBorder="1" applyAlignment="1" applyProtection="1">
      <alignment horizontal="center" vertical="center" wrapText="1"/>
    </xf>
    <xf numFmtId="0" fontId="14" fillId="0" borderId="25" xfId="0" applyNumberFormat="1" applyFont="1" applyFill="1" applyBorder="1" applyAlignment="1" applyProtection="1">
      <alignment horizontal="center" vertical="center"/>
    </xf>
    <xf numFmtId="0" fontId="14" fillId="0" borderId="78" xfId="0" applyNumberFormat="1" applyFont="1" applyFill="1" applyBorder="1" applyAlignment="1" applyProtection="1">
      <alignment horizontal="center" vertical="center"/>
    </xf>
    <xf numFmtId="0" fontId="14" fillId="0" borderId="26" xfId="0" applyNumberFormat="1" applyFont="1" applyFill="1" applyBorder="1" applyAlignment="1" applyProtection="1">
      <alignment horizontal="center" vertical="center"/>
    </xf>
    <xf numFmtId="0" fontId="14" fillId="0" borderId="24" xfId="0" applyNumberFormat="1" applyFont="1" applyFill="1" applyBorder="1" applyAlignment="1" applyProtection="1">
      <alignment horizontal="center" vertical="center"/>
    </xf>
    <xf numFmtId="0" fontId="14" fillId="0" borderId="26" xfId="0" applyNumberFormat="1" applyFont="1" applyFill="1" applyBorder="1" applyAlignment="1" applyProtection="1">
      <alignment horizontal="center" vertical="top"/>
    </xf>
    <xf numFmtId="0" fontId="16" fillId="0" borderId="22" xfId="0" applyNumberFormat="1" applyFont="1" applyFill="1" applyBorder="1" applyAlignment="1" applyProtection="1">
      <alignment horizontal="left" vertical="center" wrapText="1"/>
    </xf>
    <xf numFmtId="0" fontId="14" fillId="0" borderId="84" xfId="0" applyNumberFormat="1" applyFont="1" applyFill="1" applyBorder="1" applyAlignment="1" applyProtection="1">
      <alignment horizontal="center" vertical="center"/>
    </xf>
    <xf numFmtId="0" fontId="16" fillId="0" borderId="83" xfId="0" applyNumberFormat="1" applyFont="1" applyFill="1" applyBorder="1" applyAlignment="1" applyProtection="1">
      <alignment horizontal="left" vertical="center" wrapText="1"/>
    </xf>
    <xf numFmtId="0" fontId="16" fillId="0" borderId="25" xfId="0" applyNumberFormat="1" applyFont="1" applyFill="1" applyBorder="1" applyAlignment="1" applyProtection="1">
      <alignment horizontal="left" vertical="center" wrapText="1"/>
    </xf>
    <xf numFmtId="0" fontId="14" fillId="0" borderId="84" xfId="0" applyNumberFormat="1" applyFont="1" applyFill="1" applyBorder="1" applyAlignment="1" applyProtection="1">
      <alignment horizontal="center" vertical="top"/>
    </xf>
    <xf numFmtId="0" fontId="14" fillId="0" borderId="84" xfId="0" applyNumberFormat="1" applyFont="1" applyFill="1" applyBorder="1" applyAlignment="1" applyProtection="1">
      <alignment vertical="top"/>
    </xf>
    <xf numFmtId="0" fontId="16" fillId="0" borderId="81" xfId="0" applyNumberFormat="1" applyFont="1" applyFill="1" applyBorder="1" applyAlignment="1" applyProtection="1">
      <alignment vertical="center" wrapText="1"/>
    </xf>
    <xf numFmtId="0" fontId="16" fillId="0" borderId="84" xfId="0" applyNumberFormat="1" applyFont="1" applyFill="1" applyBorder="1" applyAlignment="1" applyProtection="1">
      <alignment vertical="center" wrapText="1"/>
    </xf>
    <xf numFmtId="0" fontId="17" fillId="0" borderId="52" xfId="0" applyNumberFormat="1" applyFont="1" applyFill="1" applyBorder="1" applyAlignment="1" applyProtection="1">
      <alignment vertical="center" wrapText="1"/>
    </xf>
    <xf numFmtId="0" fontId="16" fillId="0" borderId="39" xfId="0" applyNumberFormat="1" applyFont="1" applyFill="1" applyBorder="1" applyAlignment="1" applyProtection="1">
      <alignment horizontal="center" vertical="center"/>
    </xf>
    <xf numFmtId="0" fontId="16" fillId="0" borderId="41" xfId="0" applyNumberFormat="1" applyFont="1" applyFill="1" applyBorder="1" applyAlignment="1" applyProtection="1">
      <alignment horizontal="center" vertical="center"/>
    </xf>
    <xf numFmtId="4" fontId="16" fillId="0" borderId="53" xfId="0" applyNumberFormat="1" applyFont="1" applyFill="1" applyBorder="1" applyAlignment="1" applyProtection="1">
      <alignment horizontal="center" vertical="center" shrinkToFit="1"/>
    </xf>
    <xf numFmtId="0" fontId="34" fillId="8" borderId="0" xfId="0" applyNumberFormat="1" applyFont="1" applyFill="1" applyBorder="1" applyAlignment="1" applyProtection="1">
      <alignment horizontal="center" vertical="top"/>
    </xf>
    <xf numFmtId="0" fontId="34" fillId="8" borderId="0" xfId="0" applyNumberFormat="1" applyFont="1" applyFill="1" applyBorder="1" applyAlignment="1" applyProtection="1">
      <alignment vertical="top"/>
    </xf>
    <xf numFmtId="14" fontId="14" fillId="0" borderId="2" xfId="0" applyNumberFormat="1" applyFont="1" applyBorder="1" applyAlignment="1">
      <alignment horizontal="center"/>
    </xf>
    <xf numFmtId="0" fontId="16" fillId="0" borderId="42" xfId="0" applyNumberFormat="1" applyFont="1" applyBorder="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left" vertical="center" wrapText="1" indent="1"/>
    </xf>
    <xf numFmtId="49" fontId="16" fillId="0" borderId="45" xfId="0" applyNumberFormat="1" applyFont="1" applyBorder="1" applyAlignment="1">
      <alignment horizontal="center" vertical="center" wrapText="1"/>
    </xf>
    <xf numFmtId="0" fontId="16" fillId="0" borderId="1"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24" fillId="0" borderId="0" xfId="1" applyFont="1" applyFill="1" applyBorder="1" applyAlignment="1">
      <alignment horizontal="right" indent="1"/>
    </xf>
    <xf numFmtId="4" fontId="17" fillId="0" borderId="0" xfId="0" applyNumberFormat="1" applyFont="1" applyFill="1" applyBorder="1" applyAlignment="1" applyProtection="1">
      <alignment vertical="center"/>
    </xf>
    <xf numFmtId="0" fontId="16" fillId="0" borderId="83" xfId="0" applyNumberFormat="1" applyFont="1" applyFill="1" applyBorder="1" applyAlignment="1" applyProtection="1">
      <alignment horizontal="left" vertical="center" wrapText="1"/>
    </xf>
    <xf numFmtId="0" fontId="16" fillId="9" borderId="0" xfId="0" applyFont="1" applyFill="1" applyAlignment="1">
      <alignment vertical="center"/>
    </xf>
    <xf numFmtId="0" fontId="16" fillId="0" borderId="84" xfId="0" applyNumberFormat="1" applyFont="1" applyFill="1" applyBorder="1" applyAlignment="1" applyProtection="1">
      <alignment horizontal="left" vertical="center" wrapText="1"/>
    </xf>
    <xf numFmtId="0" fontId="16" fillId="0" borderId="83" xfId="0" applyNumberFormat="1" applyFont="1" applyFill="1" applyBorder="1" applyAlignment="1" applyProtection="1">
      <alignment horizontal="left" vertical="center" wrapText="1"/>
    </xf>
    <xf numFmtId="0" fontId="24" fillId="0" borderId="0" xfId="1" applyFont="1" applyFill="1" applyBorder="1" applyAlignment="1">
      <alignment horizontal="center" vertical="center"/>
    </xf>
    <xf numFmtId="4" fontId="16" fillId="0" borderId="19" xfId="0" applyNumberFormat="1" applyFont="1" applyFill="1" applyBorder="1" applyAlignment="1" applyProtection="1">
      <alignment vertical="center" shrinkToFit="1"/>
    </xf>
    <xf numFmtId="4" fontId="16" fillId="0" borderId="20" xfId="0" applyNumberFormat="1" applyFont="1" applyFill="1" applyBorder="1" applyAlignment="1" applyProtection="1">
      <alignment vertical="center" shrinkToFit="1"/>
    </xf>
    <xf numFmtId="0" fontId="16" fillId="0" borderId="0" xfId="0" applyFont="1" applyAlignment="1">
      <alignment horizontal="center" vertical="center"/>
    </xf>
    <xf numFmtId="0" fontId="16" fillId="0" borderId="1" xfId="0" applyNumberFormat="1" applyFont="1" applyBorder="1" applyAlignment="1">
      <alignment horizontal="center" vertical="center"/>
    </xf>
    <xf numFmtId="49" fontId="17" fillId="0" borderId="4" xfId="0" applyNumberFormat="1" applyFont="1" applyBorder="1" applyAlignment="1">
      <alignment horizontal="center" wrapText="1"/>
    </xf>
    <xf numFmtId="0" fontId="14" fillId="0" borderId="29" xfId="0" applyNumberFormat="1" applyFont="1" applyFill="1" applyBorder="1" applyAlignment="1" applyProtection="1">
      <alignment horizontal="center" vertical="center"/>
    </xf>
    <xf numFmtId="0" fontId="16" fillId="0" borderId="16" xfId="0" applyNumberFormat="1" applyFont="1" applyFill="1" applyBorder="1" applyAlignment="1" applyProtection="1">
      <alignment horizontal="center" vertical="center"/>
    </xf>
    <xf numFmtId="0" fontId="14" fillId="0" borderId="30" xfId="0" applyNumberFormat="1" applyFont="1" applyFill="1" applyBorder="1" applyAlignment="1" applyProtection="1">
      <alignment horizontal="center" vertical="center"/>
    </xf>
    <xf numFmtId="0" fontId="17" fillId="0" borderId="17" xfId="0" applyNumberFormat="1" applyFont="1" applyFill="1" applyBorder="1" applyAlignment="1" applyProtection="1">
      <alignment horizontal="right" vertical="center"/>
    </xf>
    <xf numFmtId="0" fontId="16" fillId="0" borderId="83" xfId="0" applyNumberFormat="1" applyFont="1" applyFill="1" applyBorder="1" applyAlignment="1" applyProtection="1">
      <alignment horizontal="left" vertical="center" wrapText="1"/>
    </xf>
    <xf numFmtId="0" fontId="16" fillId="0" borderId="0" xfId="0" applyFont="1" applyBorder="1" applyAlignment="1">
      <alignment horizontal="center" vertical="center"/>
    </xf>
    <xf numFmtId="49" fontId="16" fillId="10" borderId="29" xfId="0" applyNumberFormat="1" applyFont="1" applyFill="1" applyBorder="1" applyAlignment="1"/>
    <xf numFmtId="49" fontId="16" fillId="10" borderId="32" xfId="0" applyNumberFormat="1" applyFont="1" applyFill="1" applyBorder="1" applyAlignment="1">
      <alignment horizontal="center"/>
    </xf>
    <xf numFmtId="49" fontId="16" fillId="10" borderId="53" xfId="0" applyNumberFormat="1" applyFont="1" applyFill="1" applyBorder="1" applyAlignment="1">
      <alignment horizontal="center" vertical="center"/>
    </xf>
    <xf numFmtId="49" fontId="16" fillId="10" borderId="29" xfId="0" applyNumberFormat="1" applyFont="1" applyFill="1" applyBorder="1" applyAlignment="1">
      <alignment horizontal="center" vertical="center"/>
    </xf>
    <xf numFmtId="49" fontId="16" fillId="10" borderId="21" xfId="0" applyNumberFormat="1" applyFont="1" applyFill="1" applyBorder="1" applyAlignment="1">
      <alignment horizontal="center" vertical="center"/>
    </xf>
    <xf numFmtId="0" fontId="14" fillId="5" borderId="0" xfId="0" applyFont="1" applyFill="1" applyAlignment="1">
      <alignment vertical="center" wrapText="1"/>
    </xf>
    <xf numFmtId="0" fontId="0" fillId="0" borderId="0" xfId="0" applyFont="1" applyAlignment="1">
      <alignment horizontal="center" vertical="center" wrapText="1"/>
    </xf>
    <xf numFmtId="0" fontId="16" fillId="0" borderId="0" xfId="0" applyFont="1" applyBorder="1" applyAlignment="1">
      <alignment horizontal="center"/>
    </xf>
    <xf numFmtId="0" fontId="14" fillId="0" borderId="0" xfId="0" applyFont="1" applyBorder="1"/>
    <xf numFmtId="0" fontId="16" fillId="0" borderId="93" xfId="0" applyNumberFormat="1" applyFont="1" applyBorder="1" applyAlignment="1">
      <alignment horizontal="center" vertical="center" wrapText="1"/>
    </xf>
    <xf numFmtId="0" fontId="16" fillId="0" borderId="96" xfId="0" applyNumberFormat="1" applyFont="1" applyBorder="1" applyAlignment="1">
      <alignment horizontal="center" vertical="center" wrapText="1"/>
    </xf>
    <xf numFmtId="0" fontId="17" fillId="0" borderId="96" xfId="0" applyFont="1" applyBorder="1" applyAlignment="1">
      <alignment horizontal="center"/>
    </xf>
    <xf numFmtId="49" fontId="17" fillId="0" borderId="42" xfId="0" applyNumberFormat="1" applyFont="1" applyFill="1" applyBorder="1" applyAlignment="1">
      <alignment horizontal="center" wrapText="1"/>
    </xf>
    <xf numFmtId="49" fontId="17" fillId="0" borderId="44" xfId="0" applyNumberFormat="1" applyFont="1" applyFill="1" applyBorder="1" applyAlignment="1">
      <alignment horizontal="center" wrapText="1"/>
    </xf>
    <xf numFmtId="167" fontId="16" fillId="2" borderId="21" xfId="0" applyNumberFormat="1" applyFont="1" applyFill="1" applyBorder="1" applyAlignment="1">
      <alignment vertical="center"/>
    </xf>
    <xf numFmtId="167" fontId="16" fillId="2" borderId="22" xfId="0" applyNumberFormat="1" applyFont="1" applyFill="1" applyBorder="1" applyAlignment="1">
      <alignment vertical="center"/>
    </xf>
    <xf numFmtId="167" fontId="16" fillId="2" borderId="23" xfId="0" applyNumberFormat="1" applyFont="1" applyFill="1" applyBorder="1" applyAlignment="1">
      <alignment vertical="center"/>
    </xf>
    <xf numFmtId="167" fontId="16" fillId="3" borderId="18" xfId="0" applyNumberFormat="1" applyFont="1" applyFill="1" applyBorder="1" applyAlignment="1">
      <alignment vertical="center"/>
    </xf>
    <xf numFmtId="167" fontId="16" fillId="3" borderId="19" xfId="0" applyNumberFormat="1" applyFont="1" applyFill="1" applyBorder="1" applyAlignment="1">
      <alignment vertical="center"/>
    </xf>
    <xf numFmtId="167" fontId="16" fillId="3" borderId="20" xfId="0" applyNumberFormat="1" applyFont="1" applyFill="1" applyBorder="1" applyAlignment="1">
      <alignment vertical="center"/>
    </xf>
    <xf numFmtId="167" fontId="16" fillId="11" borderId="18" xfId="0" applyNumberFormat="1" applyFont="1" applyFill="1" applyBorder="1" applyAlignment="1">
      <alignment vertical="center"/>
    </xf>
    <xf numFmtId="167" fontId="16" fillId="11" borderId="19" xfId="0" applyNumberFormat="1" applyFont="1" applyFill="1" applyBorder="1" applyAlignment="1">
      <alignment vertical="center"/>
    </xf>
    <xf numFmtId="167" fontId="16" fillId="11" borderId="20" xfId="0" applyNumberFormat="1" applyFont="1" applyFill="1" applyBorder="1" applyAlignment="1">
      <alignment vertical="center"/>
    </xf>
    <xf numFmtId="167" fontId="16" fillId="11" borderId="21" xfId="0" applyNumberFormat="1" applyFont="1" applyFill="1" applyBorder="1" applyAlignment="1">
      <alignment vertical="center"/>
    </xf>
    <xf numFmtId="167" fontId="16" fillId="11" borderId="22" xfId="0" applyNumberFormat="1" applyFont="1" applyFill="1" applyBorder="1" applyAlignment="1">
      <alignment vertical="center"/>
    </xf>
    <xf numFmtId="167" fontId="16" fillId="11" borderId="23" xfId="0" applyNumberFormat="1" applyFont="1" applyFill="1" applyBorder="1" applyAlignment="1">
      <alignment vertical="center"/>
    </xf>
    <xf numFmtId="167" fontId="16" fillId="8" borderId="18" xfId="0" applyNumberFormat="1" applyFont="1" applyFill="1" applyBorder="1" applyAlignment="1">
      <alignment vertical="center"/>
    </xf>
    <xf numFmtId="167" fontId="16" fillId="8" borderId="19" xfId="0" applyNumberFormat="1" applyFont="1" applyFill="1" applyBorder="1" applyAlignment="1">
      <alignment vertical="center"/>
    </xf>
    <xf numFmtId="167" fontId="16" fillId="8" borderId="20" xfId="0" applyNumberFormat="1" applyFont="1" applyFill="1" applyBorder="1" applyAlignment="1">
      <alignment vertical="center"/>
    </xf>
    <xf numFmtId="49" fontId="16" fillId="8" borderId="39" xfId="0" applyNumberFormat="1" applyFont="1" applyFill="1" applyBorder="1" applyAlignment="1">
      <alignment horizontal="left" vertical="center" wrapText="1" indent="3"/>
    </xf>
    <xf numFmtId="49" fontId="16" fillId="8" borderId="18" xfId="0" applyNumberFormat="1" applyFont="1" applyFill="1" applyBorder="1" applyAlignment="1">
      <alignment horizontal="center" vertical="center"/>
    </xf>
    <xf numFmtId="49" fontId="16" fillId="8" borderId="19" xfId="0" applyNumberFormat="1" applyFont="1" applyFill="1" applyBorder="1" applyAlignment="1">
      <alignment horizontal="center" vertical="center"/>
    </xf>
    <xf numFmtId="49" fontId="16" fillId="8" borderId="81" xfId="0" applyNumberFormat="1" applyFont="1" applyFill="1" applyBorder="1" applyAlignment="1">
      <alignment horizontal="center" vertical="center"/>
    </xf>
    <xf numFmtId="49" fontId="17" fillId="3" borderId="18" xfId="0" applyNumberFormat="1" applyFont="1" applyFill="1" applyBorder="1" applyAlignment="1">
      <alignment horizontal="center" vertical="center"/>
    </xf>
    <xf numFmtId="49" fontId="17" fillId="3" borderId="19" xfId="0" applyNumberFormat="1" applyFont="1" applyFill="1" applyBorder="1" applyAlignment="1">
      <alignment horizontal="center" vertical="center"/>
    </xf>
    <xf numFmtId="167" fontId="16" fillId="4" borderId="29" xfId="0" applyNumberFormat="1" applyFont="1" applyFill="1" applyBorder="1" applyAlignment="1">
      <alignment vertical="center"/>
    </xf>
    <xf numFmtId="167" fontId="16" fillId="4" borderId="30" xfId="0" applyNumberFormat="1" applyFont="1" applyFill="1" applyBorder="1" applyAlignment="1">
      <alignment vertical="center"/>
    </xf>
    <xf numFmtId="167" fontId="16" fillId="4" borderId="46" xfId="0" applyNumberFormat="1" applyFont="1" applyFill="1" applyBorder="1" applyAlignment="1">
      <alignment vertical="center"/>
    </xf>
    <xf numFmtId="49" fontId="16" fillId="4" borderId="40" xfId="0" applyNumberFormat="1" applyFont="1" applyFill="1" applyBorder="1" applyAlignment="1">
      <alignment horizontal="left" vertical="center" wrapText="1" indent="4"/>
    </xf>
    <xf numFmtId="49" fontId="16" fillId="4" borderId="21" xfId="0" applyNumberFormat="1" applyFont="1" applyFill="1" applyBorder="1" applyAlignment="1">
      <alignment horizontal="center" vertical="center"/>
    </xf>
    <xf numFmtId="49" fontId="16" fillId="4" borderId="22" xfId="0" applyNumberFormat="1" applyFont="1" applyFill="1" applyBorder="1" applyAlignment="1">
      <alignment horizontal="center" vertical="center"/>
    </xf>
    <xf numFmtId="49" fontId="16" fillId="4" borderId="83" xfId="0" applyNumberFormat="1" applyFont="1" applyFill="1" applyBorder="1" applyAlignment="1">
      <alignment horizontal="center" vertical="center"/>
    </xf>
    <xf numFmtId="167" fontId="16" fillId="4" borderId="21" xfId="0" applyNumberFormat="1" applyFont="1" applyFill="1" applyBorder="1" applyAlignment="1">
      <alignment vertical="center"/>
    </xf>
    <xf numFmtId="167" fontId="16" fillId="4" borderId="22" xfId="0" applyNumberFormat="1" applyFont="1" applyFill="1" applyBorder="1" applyAlignment="1">
      <alignment vertical="center"/>
    </xf>
    <xf numFmtId="167" fontId="16" fillId="4" borderId="23" xfId="0" applyNumberFormat="1" applyFont="1" applyFill="1" applyBorder="1" applyAlignment="1">
      <alignment vertical="center"/>
    </xf>
    <xf numFmtId="49" fontId="16" fillId="4" borderId="45" xfId="0" applyNumberFormat="1" applyFont="1" applyFill="1" applyBorder="1" applyAlignment="1">
      <alignment horizontal="left" vertical="center" wrapText="1" indent="4"/>
    </xf>
    <xf numFmtId="49" fontId="16" fillId="4" borderId="13" xfId="0" applyNumberFormat="1" applyFont="1" applyFill="1" applyBorder="1" applyAlignment="1">
      <alignment horizontal="left" vertical="center" wrapText="1" indent="4"/>
    </xf>
    <xf numFmtId="49" fontId="16" fillId="4" borderId="47" xfId="0" applyNumberFormat="1" applyFont="1" applyFill="1" applyBorder="1" applyAlignment="1">
      <alignment horizontal="left" vertical="center" wrapText="1" indent="4"/>
    </xf>
    <xf numFmtId="49" fontId="16" fillId="4" borderId="53" xfId="0" applyNumberFormat="1" applyFont="1" applyFill="1" applyBorder="1" applyAlignment="1">
      <alignment horizontal="center" vertical="center"/>
    </xf>
    <xf numFmtId="49" fontId="16" fillId="4" borderId="54" xfId="0" applyNumberFormat="1" applyFont="1" applyFill="1" applyBorder="1" applyAlignment="1">
      <alignment horizontal="center" vertical="center"/>
    </xf>
    <xf numFmtId="49" fontId="16" fillId="4" borderId="97" xfId="0" applyNumberFormat="1" applyFont="1" applyFill="1" applyBorder="1" applyAlignment="1">
      <alignment horizontal="center" vertical="center"/>
    </xf>
    <xf numFmtId="167" fontId="16" fillId="4" borderId="29" xfId="0" applyNumberFormat="1" applyFont="1" applyFill="1" applyBorder="1" applyAlignment="1">
      <alignment horizontal="right" vertical="center"/>
    </xf>
    <xf numFmtId="167" fontId="16" fillId="4" borderId="30" xfId="0" applyNumberFormat="1" applyFont="1" applyFill="1" applyBorder="1" applyAlignment="1">
      <alignment horizontal="right" vertical="center"/>
    </xf>
    <xf numFmtId="167" fontId="16" fillId="4" borderId="46" xfId="0" applyNumberFormat="1" applyFont="1" applyFill="1" applyBorder="1" applyAlignment="1">
      <alignment horizontal="right" vertical="center"/>
    </xf>
    <xf numFmtId="49" fontId="16" fillId="4" borderId="45" xfId="0" applyNumberFormat="1" applyFont="1" applyFill="1" applyBorder="1" applyAlignment="1">
      <alignment horizontal="left" wrapText="1" indent="4"/>
    </xf>
    <xf numFmtId="49" fontId="16" fillId="4" borderId="29" xfId="0" applyNumberFormat="1" applyFont="1" applyFill="1" applyBorder="1" applyAlignment="1">
      <alignment vertical="center"/>
    </xf>
    <xf numFmtId="49" fontId="16" fillId="4" borderId="30" xfId="0" applyNumberFormat="1" applyFont="1" applyFill="1" applyBorder="1" applyAlignment="1">
      <alignment vertical="center"/>
    </xf>
    <xf numFmtId="49" fontId="16" fillId="4" borderId="46" xfId="0" applyNumberFormat="1" applyFont="1" applyFill="1" applyBorder="1" applyAlignment="1">
      <alignment vertical="center"/>
    </xf>
    <xf numFmtId="167" fontId="16" fillId="4" borderId="36" xfId="0" applyNumberFormat="1" applyFont="1" applyFill="1" applyBorder="1" applyAlignment="1">
      <alignment horizontal="center" vertical="center"/>
    </xf>
    <xf numFmtId="167" fontId="16" fillId="4" borderId="30" xfId="0" applyNumberFormat="1" applyFont="1" applyFill="1" applyBorder="1" applyAlignment="1">
      <alignment horizontal="center" vertical="center"/>
    </xf>
    <xf numFmtId="167" fontId="16" fillId="4" borderId="46" xfId="0" applyNumberFormat="1" applyFont="1" applyFill="1" applyBorder="1" applyAlignment="1">
      <alignment horizontal="center" vertical="center"/>
    </xf>
    <xf numFmtId="49" fontId="16" fillId="4" borderId="45" xfId="0" applyNumberFormat="1" applyFont="1" applyFill="1" applyBorder="1" applyAlignment="1">
      <alignment horizontal="left" vertical="center" wrapText="1" indent="1"/>
    </xf>
    <xf numFmtId="49" fontId="16" fillId="4" borderId="29" xfId="0" applyNumberFormat="1" applyFont="1" applyFill="1" applyBorder="1" applyAlignment="1">
      <alignment horizontal="center" vertical="center"/>
    </xf>
    <xf numFmtId="49" fontId="16" fillId="4" borderId="30" xfId="0" applyNumberFormat="1" applyFont="1" applyFill="1" applyBorder="1" applyAlignment="1">
      <alignment horizontal="center" vertical="center"/>
    </xf>
    <xf numFmtId="49" fontId="16" fillId="4" borderId="87" xfId="0" applyNumberFormat="1" applyFont="1" applyFill="1" applyBorder="1" applyAlignment="1">
      <alignment horizontal="center" vertical="center"/>
    </xf>
    <xf numFmtId="49" fontId="16" fillId="4" borderId="40" xfId="0" applyNumberFormat="1" applyFont="1" applyFill="1" applyBorder="1" applyAlignment="1">
      <alignment horizontal="left" wrapText="1" indent="4"/>
    </xf>
    <xf numFmtId="49" fontId="16" fillId="2" borderId="40" xfId="0" applyNumberFormat="1" applyFont="1" applyFill="1" applyBorder="1" applyAlignment="1">
      <alignment horizontal="left" vertical="center" wrapText="1" indent="3"/>
    </xf>
    <xf numFmtId="49" fontId="16" fillId="2" borderId="21" xfId="0" applyNumberFormat="1" applyFont="1" applyFill="1" applyBorder="1" applyAlignment="1">
      <alignment horizontal="center" vertical="center"/>
    </xf>
    <xf numFmtId="49" fontId="16" fillId="2" borderId="22" xfId="0" applyNumberFormat="1" applyFont="1" applyFill="1" applyBorder="1" applyAlignment="1">
      <alignment horizontal="center" vertical="center"/>
    </xf>
    <xf numFmtId="49" fontId="16" fillId="2" borderId="83" xfId="0" applyNumberFormat="1" applyFont="1" applyFill="1" applyBorder="1" applyAlignment="1">
      <alignment horizontal="center" vertical="center"/>
    </xf>
    <xf numFmtId="49" fontId="16" fillId="3" borderId="40" xfId="0" applyNumberFormat="1" applyFont="1" applyFill="1" applyBorder="1" applyAlignment="1">
      <alignment horizontal="left" vertical="center" wrapText="1" indent="3"/>
    </xf>
    <xf numFmtId="49" fontId="16" fillId="13" borderId="21" xfId="0" applyNumberFormat="1" applyFont="1" applyFill="1" applyBorder="1" applyAlignment="1">
      <alignment horizontal="center" vertical="center"/>
    </xf>
    <xf numFmtId="49" fontId="16" fillId="13" borderId="22" xfId="0" applyNumberFormat="1" applyFont="1" applyFill="1" applyBorder="1" applyAlignment="1">
      <alignment horizontal="center" vertical="center"/>
    </xf>
    <xf numFmtId="49" fontId="16" fillId="13" borderId="83" xfId="0" applyNumberFormat="1" applyFont="1" applyFill="1" applyBorder="1" applyAlignment="1">
      <alignment horizontal="center" vertical="center"/>
    </xf>
    <xf numFmtId="167" fontId="16" fillId="13" borderId="21" xfId="0" applyNumberFormat="1" applyFont="1" applyFill="1" applyBorder="1" applyAlignment="1">
      <alignment vertical="center"/>
    </xf>
    <xf numFmtId="167" fontId="16" fillId="13" borderId="22" xfId="0" applyNumberFormat="1" applyFont="1" applyFill="1" applyBorder="1" applyAlignment="1">
      <alignment vertical="center"/>
    </xf>
    <xf numFmtId="167" fontId="16" fillId="13" borderId="23" xfId="0" applyNumberFormat="1" applyFont="1" applyFill="1" applyBorder="1" applyAlignment="1">
      <alignment vertical="center"/>
    </xf>
    <xf numFmtId="49" fontId="16" fillId="11" borderId="22" xfId="0" applyNumberFormat="1" applyFont="1" applyFill="1" applyBorder="1" applyAlignment="1">
      <alignment horizontal="center" vertical="center"/>
    </xf>
    <xf numFmtId="49" fontId="16" fillId="11" borderId="83" xfId="0" applyNumberFormat="1" applyFont="1" applyFill="1" applyBorder="1" applyAlignment="1">
      <alignment horizontal="center" vertical="center"/>
    </xf>
    <xf numFmtId="49" fontId="16" fillId="7" borderId="40" xfId="0" applyNumberFormat="1" applyFont="1" applyFill="1" applyBorder="1" applyAlignment="1">
      <alignment horizontal="left" vertical="center" wrapText="1" indent="4"/>
    </xf>
    <xf numFmtId="49" fontId="16" fillId="7" borderId="21" xfId="0" applyNumberFormat="1" applyFont="1" applyFill="1" applyBorder="1" applyAlignment="1">
      <alignment horizontal="center" vertical="center"/>
    </xf>
    <xf numFmtId="49" fontId="16" fillId="7" borderId="22" xfId="0" applyNumberFormat="1" applyFont="1" applyFill="1" applyBorder="1" applyAlignment="1">
      <alignment horizontal="center" vertical="center"/>
    </xf>
    <xf numFmtId="49" fontId="16" fillId="7" borderId="83" xfId="0" applyNumberFormat="1" applyFont="1" applyFill="1" applyBorder="1" applyAlignment="1">
      <alignment horizontal="center" vertical="center"/>
    </xf>
    <xf numFmtId="49" fontId="16" fillId="11" borderId="40" xfId="0" applyNumberFormat="1" applyFont="1" applyFill="1" applyBorder="1" applyAlignment="1">
      <alignment horizontal="left" vertical="center" wrapText="1" indent="4"/>
    </xf>
    <xf numFmtId="49" fontId="16" fillId="13" borderId="40" xfId="0" applyNumberFormat="1" applyFont="1" applyFill="1" applyBorder="1" applyAlignment="1">
      <alignment horizontal="left" vertical="center" wrapText="1" indent="4"/>
    </xf>
    <xf numFmtId="49" fontId="16" fillId="7" borderId="40" xfId="0" applyNumberFormat="1" applyFont="1" applyFill="1" applyBorder="1" applyAlignment="1">
      <alignment horizontal="left" vertical="center" wrapText="1" indent="5"/>
    </xf>
    <xf numFmtId="167" fontId="16" fillId="7" borderId="38" xfId="0" applyNumberFormat="1" applyFont="1" applyFill="1" applyBorder="1" applyAlignment="1">
      <alignment vertical="center"/>
    </xf>
    <xf numFmtId="167" fontId="16" fillId="7" borderId="72" xfId="0" applyNumberFormat="1" applyFont="1" applyFill="1" applyBorder="1" applyAlignment="1">
      <alignment vertical="center"/>
    </xf>
    <xf numFmtId="49" fontId="16" fillId="7" borderId="45" xfId="0" applyNumberFormat="1" applyFont="1" applyFill="1" applyBorder="1" applyAlignment="1">
      <alignment horizontal="left" vertical="center" wrapText="1" indent="4"/>
    </xf>
    <xf numFmtId="167" fontId="16" fillId="13" borderId="21" xfId="0" applyNumberFormat="1" applyFont="1" applyFill="1" applyBorder="1" applyAlignment="1">
      <alignment horizontal="right" vertical="center"/>
    </xf>
    <xf numFmtId="167" fontId="16" fillId="13" borderId="22" xfId="0" applyNumberFormat="1" applyFont="1" applyFill="1" applyBorder="1" applyAlignment="1">
      <alignment horizontal="right" vertical="center"/>
    </xf>
    <xf numFmtId="167" fontId="16" fillId="13" borderId="23" xfId="0" applyNumberFormat="1" applyFont="1" applyFill="1" applyBorder="1" applyAlignment="1">
      <alignment horizontal="right" vertical="center"/>
    </xf>
    <xf numFmtId="49" fontId="16" fillId="7" borderId="25" xfId="0" applyNumberFormat="1" applyFont="1" applyFill="1" applyBorder="1" applyAlignment="1">
      <alignment horizontal="center" vertical="center"/>
    </xf>
    <xf numFmtId="49" fontId="16" fillId="7" borderId="84" xfId="0" applyNumberFormat="1" applyFont="1" applyFill="1" applyBorder="1" applyAlignment="1">
      <alignment horizontal="center" vertical="center"/>
    </xf>
    <xf numFmtId="167" fontId="16" fillId="7" borderId="24" xfId="0" applyNumberFormat="1" applyFont="1" applyFill="1" applyBorder="1" applyAlignment="1">
      <alignment vertical="center"/>
    </xf>
    <xf numFmtId="167" fontId="16" fillId="7" borderId="25" xfId="0" applyNumberFormat="1" applyFont="1" applyFill="1" applyBorder="1" applyAlignment="1">
      <alignment vertical="center"/>
    </xf>
    <xf numFmtId="167" fontId="16" fillId="7" borderId="26" xfId="0" applyNumberFormat="1" applyFont="1" applyFill="1" applyBorder="1" applyAlignment="1">
      <alignment vertical="center"/>
    </xf>
    <xf numFmtId="49" fontId="16" fillId="12" borderId="39" xfId="0" applyNumberFormat="1" applyFont="1" applyFill="1" applyBorder="1" applyAlignment="1">
      <alignment horizontal="left" vertical="center" wrapText="1" indent="3"/>
    </xf>
    <xf numFmtId="49" fontId="16" fillId="12" borderId="45" xfId="0" applyNumberFormat="1" applyFont="1" applyFill="1" applyBorder="1" applyAlignment="1">
      <alignment horizontal="left" vertical="center" wrapText="1" indent="4"/>
    </xf>
    <xf numFmtId="49" fontId="16" fillId="12" borderId="13" xfId="0" applyNumberFormat="1" applyFont="1" applyFill="1" applyBorder="1" applyAlignment="1">
      <alignment horizontal="left" vertical="center" wrapText="1" indent="4"/>
    </xf>
    <xf numFmtId="49" fontId="16" fillId="12" borderId="40" xfId="0" applyNumberFormat="1" applyFont="1" applyFill="1" applyBorder="1" applyAlignment="1">
      <alignment horizontal="left" vertical="center" wrapText="1" indent="4"/>
    </xf>
    <xf numFmtId="49" fontId="16" fillId="12" borderId="47" xfId="0" applyNumberFormat="1" applyFont="1" applyFill="1" applyBorder="1" applyAlignment="1">
      <alignment horizontal="left" vertical="center" wrapText="1" indent="4"/>
    </xf>
    <xf numFmtId="49" fontId="16" fillId="12" borderId="45" xfId="0" applyNumberFormat="1" applyFont="1" applyFill="1" applyBorder="1" applyAlignment="1">
      <alignment horizontal="left" wrapText="1" indent="4"/>
    </xf>
    <xf numFmtId="49" fontId="16" fillId="12" borderId="45" xfId="0" applyNumberFormat="1" applyFont="1" applyFill="1" applyBorder="1" applyAlignment="1">
      <alignment horizontal="left" vertical="center" wrapText="1" indent="1"/>
    </xf>
    <xf numFmtId="49" fontId="16" fillId="12" borderId="40" xfId="0" applyNumberFormat="1" applyFont="1" applyFill="1" applyBorder="1" applyAlignment="1">
      <alignment horizontal="left" wrapText="1" indent="4"/>
    </xf>
    <xf numFmtId="49" fontId="16" fillId="11" borderId="40" xfId="0" applyNumberFormat="1" applyFont="1" applyFill="1" applyBorder="1" applyAlignment="1">
      <alignment horizontal="left" vertical="center" wrapText="1" indent="5"/>
    </xf>
    <xf numFmtId="49" fontId="16" fillId="11" borderId="45" xfId="0" applyNumberFormat="1" applyFont="1" applyFill="1" applyBorder="1" applyAlignment="1">
      <alignment horizontal="left" vertical="center" wrapText="1" indent="4"/>
    </xf>
    <xf numFmtId="49" fontId="16" fillId="11" borderId="74" xfId="0" applyNumberFormat="1" applyFont="1" applyFill="1" applyBorder="1" applyAlignment="1">
      <alignment horizontal="left" vertical="center" wrapText="1" indent="4"/>
    </xf>
    <xf numFmtId="49" fontId="16" fillId="11" borderId="38" xfId="0" applyNumberFormat="1" applyFont="1" applyFill="1" applyBorder="1" applyAlignment="1">
      <alignment horizontal="left" vertical="center" wrapText="1" indent="4"/>
    </xf>
    <xf numFmtId="49" fontId="16" fillId="11" borderId="38" xfId="0" applyNumberFormat="1" applyFont="1" applyFill="1" applyBorder="1" applyAlignment="1">
      <alignment horizontal="left" vertical="center" wrapText="1" indent="5"/>
    </xf>
    <xf numFmtId="49" fontId="16" fillId="11" borderId="38" xfId="0" applyNumberFormat="1" applyFont="1" applyFill="1" applyBorder="1" applyAlignment="1">
      <alignment vertical="center" wrapText="1"/>
    </xf>
    <xf numFmtId="49" fontId="16" fillId="11" borderId="41" xfId="0" applyNumberFormat="1" applyFont="1" applyFill="1" applyBorder="1" applyAlignment="1">
      <alignment horizontal="left" vertical="center" wrapText="1" indent="5"/>
    </xf>
    <xf numFmtId="49" fontId="16" fillId="3" borderId="39" xfId="0" applyNumberFormat="1" applyFont="1" applyFill="1" applyBorder="1" applyAlignment="1">
      <alignment horizontal="left" vertical="center" wrapText="1" indent="1"/>
    </xf>
    <xf numFmtId="49" fontId="16" fillId="3" borderId="41" xfId="0" applyNumberFormat="1" applyFont="1" applyFill="1" applyBorder="1" applyAlignment="1">
      <alignment horizontal="left" vertical="center" wrapText="1" indent="3"/>
    </xf>
    <xf numFmtId="49" fontId="16" fillId="3" borderId="41" xfId="0" applyNumberFormat="1" applyFont="1" applyFill="1" applyBorder="1" applyAlignment="1">
      <alignment horizontal="left" vertical="center" wrapText="1" indent="1"/>
    </xf>
    <xf numFmtId="49" fontId="16" fillId="11" borderId="39" xfId="0" applyNumberFormat="1" applyFont="1" applyFill="1" applyBorder="1" applyAlignment="1">
      <alignment horizontal="left" vertical="center" wrapText="1" indent="3"/>
    </xf>
    <xf numFmtId="49" fontId="16" fillId="11" borderId="18" xfId="0" applyNumberFormat="1" applyFont="1" applyFill="1" applyBorder="1" applyAlignment="1">
      <alignment horizontal="center" vertical="center"/>
    </xf>
    <xf numFmtId="49" fontId="16" fillId="11" borderId="19" xfId="0" applyNumberFormat="1" applyFont="1" applyFill="1" applyBorder="1" applyAlignment="1">
      <alignment horizontal="center" vertical="center"/>
    </xf>
    <xf numFmtId="49" fontId="16" fillId="11" borderId="81" xfId="0" applyNumberFormat="1" applyFont="1" applyFill="1" applyBorder="1" applyAlignment="1">
      <alignment horizontal="center" vertical="center"/>
    </xf>
    <xf numFmtId="49" fontId="16" fillId="11" borderId="45" xfId="0" applyNumberFormat="1" applyFont="1" applyFill="1" applyBorder="1" applyAlignment="1">
      <alignment horizontal="left" vertical="center" wrapText="1" indent="5"/>
    </xf>
    <xf numFmtId="49" fontId="16" fillId="7" borderId="45" xfId="0" applyNumberFormat="1" applyFont="1" applyFill="1" applyBorder="1" applyAlignment="1">
      <alignment horizontal="left" vertical="center" wrapText="1" indent="5"/>
    </xf>
    <xf numFmtId="49" fontId="16" fillId="7" borderId="29" xfId="0" applyNumberFormat="1" applyFont="1" applyFill="1" applyBorder="1" applyAlignment="1">
      <alignment horizontal="center" vertical="center"/>
    </xf>
    <xf numFmtId="49" fontId="16" fillId="7" borderId="30" xfId="0" applyNumberFormat="1" applyFont="1" applyFill="1" applyBorder="1" applyAlignment="1">
      <alignment horizontal="center" vertical="center"/>
    </xf>
    <xf numFmtId="49" fontId="16" fillId="7" borderId="87" xfId="0" applyNumberFormat="1" applyFont="1" applyFill="1" applyBorder="1" applyAlignment="1">
      <alignment horizontal="center" vertical="center"/>
    </xf>
    <xf numFmtId="167" fontId="16" fillId="7" borderId="29" xfId="0" applyNumberFormat="1" applyFont="1" applyFill="1" applyBorder="1" applyAlignment="1">
      <alignment vertical="center"/>
    </xf>
    <xf numFmtId="167" fontId="16" fillId="7" borderId="30" xfId="0" applyNumberFormat="1" applyFont="1" applyFill="1" applyBorder="1" applyAlignment="1">
      <alignment vertical="center"/>
    </xf>
    <xf numFmtId="167" fontId="16" fillId="7" borderId="46" xfId="0" applyNumberFormat="1" applyFont="1" applyFill="1" applyBorder="1" applyAlignment="1">
      <alignment vertical="center"/>
    </xf>
    <xf numFmtId="49" fontId="16" fillId="2" borderId="3" xfId="0" applyNumberFormat="1" applyFont="1" applyFill="1" applyBorder="1" applyAlignment="1">
      <alignment horizontal="left" vertical="center" wrapText="1" indent="1"/>
    </xf>
    <xf numFmtId="49" fontId="16" fillId="2" borderId="42"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xf>
    <xf numFmtId="49" fontId="16" fillId="2" borderId="52" xfId="0" applyNumberFormat="1" applyFont="1" applyFill="1" applyBorder="1" applyAlignment="1">
      <alignment horizontal="center" vertical="center"/>
    </xf>
    <xf numFmtId="167" fontId="16" fillId="2" borderId="42" xfId="0" applyNumberFormat="1" applyFont="1" applyFill="1" applyBorder="1" applyAlignment="1">
      <alignment vertical="center"/>
    </xf>
    <xf numFmtId="167" fontId="16" fillId="2" borderId="43" xfId="0" applyNumberFormat="1" applyFont="1" applyFill="1" applyBorder="1" applyAlignment="1">
      <alignment vertical="center"/>
    </xf>
    <xf numFmtId="167" fontId="16" fillId="2" borderId="44" xfId="0" applyNumberFormat="1" applyFont="1" applyFill="1" applyBorder="1" applyAlignment="1">
      <alignment vertical="center"/>
    </xf>
    <xf numFmtId="49" fontId="16" fillId="3" borderId="3" xfId="0" applyNumberFormat="1" applyFont="1" applyFill="1" applyBorder="1" applyAlignment="1">
      <alignment horizontal="left" vertical="center" wrapText="1" indent="1"/>
    </xf>
    <xf numFmtId="49" fontId="16" fillId="3" borderId="81" xfId="0" applyNumberFormat="1" applyFont="1" applyFill="1" applyBorder="1" applyAlignment="1">
      <alignment horizontal="center" vertical="center"/>
    </xf>
    <xf numFmtId="49" fontId="16" fillId="2" borderId="41" xfId="0" applyNumberFormat="1" applyFont="1" applyFill="1" applyBorder="1" applyAlignment="1">
      <alignment horizontal="left" vertical="center" wrapText="1" indent="3"/>
    </xf>
    <xf numFmtId="49" fontId="16" fillId="2" borderId="24" xfId="0" applyNumberFormat="1" applyFont="1" applyFill="1" applyBorder="1" applyAlignment="1">
      <alignment horizontal="center" vertical="center"/>
    </xf>
    <xf numFmtId="49" fontId="16" fillId="2" borderId="25"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xf>
    <xf numFmtId="167" fontId="16" fillId="2" borderId="24" xfId="0" applyNumberFormat="1" applyFont="1" applyFill="1" applyBorder="1" applyAlignment="1">
      <alignment vertical="center"/>
    </xf>
    <xf numFmtId="167" fontId="16" fillId="2" borderId="25" xfId="0" applyNumberFormat="1" applyFont="1" applyFill="1" applyBorder="1" applyAlignment="1">
      <alignment vertical="center"/>
    </xf>
    <xf numFmtId="167" fontId="16" fillId="2" borderId="26" xfId="0" applyNumberFormat="1" applyFont="1" applyFill="1" applyBorder="1" applyAlignment="1">
      <alignment vertical="center"/>
    </xf>
    <xf numFmtId="49" fontId="16" fillId="2" borderId="41" xfId="0" applyNumberFormat="1" applyFont="1" applyFill="1" applyBorder="1" applyAlignment="1">
      <alignment horizontal="left" vertical="center" wrapText="1" indent="1"/>
    </xf>
    <xf numFmtId="49" fontId="16" fillId="3" borderId="12" xfId="0" applyNumberFormat="1" applyFont="1" applyFill="1" applyBorder="1" applyAlignment="1">
      <alignment horizontal="left" vertical="center" wrapText="1" indent="1"/>
    </xf>
    <xf numFmtId="49" fontId="16" fillId="2" borderId="12" xfId="0" applyNumberFormat="1" applyFont="1" applyFill="1" applyBorder="1" applyAlignment="1">
      <alignment horizontal="left" vertical="center" wrapText="1" indent="1"/>
    </xf>
    <xf numFmtId="49" fontId="16" fillId="2" borderId="49" xfId="0" applyNumberFormat="1" applyFont="1" applyFill="1" applyBorder="1" applyAlignment="1">
      <alignment horizontal="center" vertical="center"/>
    </xf>
    <xf numFmtId="49" fontId="16" fillId="2" borderId="50" xfId="0" applyNumberFormat="1" applyFont="1" applyFill="1" applyBorder="1" applyAlignment="1">
      <alignment horizontal="center" vertical="center"/>
    </xf>
    <xf numFmtId="49" fontId="16" fillId="2" borderId="89" xfId="0" applyNumberFormat="1" applyFont="1" applyFill="1" applyBorder="1" applyAlignment="1">
      <alignment horizontal="center" vertical="center"/>
    </xf>
    <xf numFmtId="167" fontId="16" fillId="2" borderId="50" xfId="0" applyNumberFormat="1" applyFont="1" applyFill="1" applyBorder="1" applyAlignment="1">
      <alignment vertical="center"/>
    </xf>
    <xf numFmtId="167" fontId="16" fillId="2" borderId="51" xfId="0" applyNumberFormat="1" applyFont="1" applyFill="1" applyBorder="1" applyAlignment="1">
      <alignment vertical="center"/>
    </xf>
    <xf numFmtId="49" fontId="16" fillId="12" borderId="98" xfId="0" applyNumberFormat="1" applyFont="1" applyFill="1" applyBorder="1" applyAlignment="1">
      <alignment horizontal="left" vertical="center" wrapText="1" indent="1"/>
    </xf>
    <xf numFmtId="49" fontId="17" fillId="12" borderId="99" xfId="0" applyNumberFormat="1" applyFont="1" applyFill="1" applyBorder="1" applyAlignment="1">
      <alignment horizontal="center" vertical="center"/>
    </xf>
    <xf numFmtId="49" fontId="17" fillId="12" borderId="100" xfId="0" applyNumberFormat="1" applyFont="1" applyFill="1" applyBorder="1" applyAlignment="1">
      <alignment horizontal="center" vertical="center"/>
    </xf>
    <xf numFmtId="49" fontId="16" fillId="12" borderId="101" xfId="0" applyNumberFormat="1" applyFont="1" applyFill="1" applyBorder="1" applyAlignment="1">
      <alignment horizontal="center" vertical="center"/>
    </xf>
    <xf numFmtId="167" fontId="17" fillId="12" borderId="99" xfId="0" applyNumberFormat="1" applyFont="1" applyFill="1" applyBorder="1" applyAlignment="1">
      <alignment vertical="center"/>
    </xf>
    <xf numFmtId="167" fontId="17" fillId="12" borderId="100" xfId="0" applyNumberFormat="1" applyFont="1" applyFill="1" applyBorder="1" applyAlignment="1">
      <alignment vertical="center"/>
    </xf>
    <xf numFmtId="167" fontId="17" fillId="12" borderId="102" xfId="0" applyNumberFormat="1" applyFont="1" applyFill="1" applyBorder="1" applyAlignment="1">
      <alignment vertical="center"/>
    </xf>
    <xf numFmtId="49" fontId="17" fillId="11" borderId="98" xfId="0" applyNumberFormat="1" applyFont="1" applyFill="1" applyBorder="1" applyAlignment="1">
      <alignment horizontal="left" vertical="center" wrapText="1" indent="1"/>
    </xf>
    <xf numFmtId="49" fontId="17" fillId="11" borderId="99" xfId="0" applyNumberFormat="1" applyFont="1" applyFill="1" applyBorder="1" applyAlignment="1">
      <alignment horizontal="center" vertical="center"/>
    </xf>
    <xf numFmtId="49" fontId="17" fillId="11" borderId="100" xfId="0" applyNumberFormat="1" applyFont="1" applyFill="1" applyBorder="1" applyAlignment="1">
      <alignment horizontal="center" vertical="center"/>
    </xf>
    <xf numFmtId="49" fontId="17" fillId="11" borderId="101" xfId="0" applyNumberFormat="1" applyFont="1" applyFill="1" applyBorder="1" applyAlignment="1">
      <alignment horizontal="center" vertical="center"/>
    </xf>
    <xf numFmtId="167" fontId="17" fillId="11" borderId="99" xfId="0" applyNumberFormat="1" applyFont="1" applyFill="1" applyBorder="1" applyAlignment="1">
      <alignment vertical="center"/>
    </xf>
    <xf numFmtId="167" fontId="17" fillId="11" borderId="100" xfId="0" applyNumberFormat="1" applyFont="1" applyFill="1" applyBorder="1" applyAlignment="1">
      <alignment vertical="center"/>
    </xf>
    <xf numFmtId="167" fontId="17" fillId="11" borderId="102" xfId="0" applyNumberFormat="1" applyFont="1" applyFill="1" applyBorder="1" applyAlignment="1">
      <alignment vertical="center"/>
    </xf>
    <xf numFmtId="49" fontId="16" fillId="0" borderId="45" xfId="0" applyNumberFormat="1" applyFont="1" applyFill="1" applyBorder="1" applyAlignment="1">
      <alignment horizontal="left" vertical="center" wrapText="1" indent="1"/>
    </xf>
    <xf numFmtId="49" fontId="16" fillId="0" borderId="45"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167" fontId="16" fillId="0" borderId="24" xfId="0" applyNumberFormat="1" applyFont="1" applyFill="1" applyBorder="1" applyAlignment="1">
      <alignment horizontal="center" vertical="center" wrapText="1"/>
    </xf>
    <xf numFmtId="167" fontId="16" fillId="0" borderId="26" xfId="0" applyNumberFormat="1" applyFont="1" applyFill="1" applyBorder="1" applyAlignment="1">
      <alignment horizontal="center" vertical="center" wrapText="1"/>
    </xf>
    <xf numFmtId="167" fontId="16" fillId="0" borderId="78" xfId="0" applyNumberFormat="1" applyFont="1" applyFill="1" applyBorder="1" applyAlignment="1">
      <alignment horizontal="center" vertical="center" wrapText="1"/>
    </xf>
    <xf numFmtId="167" fontId="16" fillId="0" borderId="25" xfId="0" applyNumberFormat="1" applyFont="1" applyFill="1" applyBorder="1" applyAlignment="1">
      <alignment horizontal="center" vertical="center" wrapText="1"/>
    </xf>
    <xf numFmtId="49" fontId="16" fillId="0" borderId="40" xfId="0" applyNumberFormat="1" applyFont="1" applyFill="1" applyBorder="1" applyAlignment="1">
      <alignment horizontal="left" vertical="center" wrapText="1" indent="1"/>
    </xf>
    <xf numFmtId="167" fontId="16" fillId="0" borderId="72" xfId="0" applyNumberFormat="1" applyFont="1" applyFill="1" applyBorder="1" applyAlignment="1">
      <alignment horizontal="center" vertical="center" wrapText="1"/>
    </xf>
    <xf numFmtId="49" fontId="16" fillId="0" borderId="36" xfId="0" applyNumberFormat="1" applyFont="1" applyFill="1" applyBorder="1" applyAlignment="1">
      <alignment horizontal="left" vertical="center" wrapText="1" indent="1"/>
    </xf>
    <xf numFmtId="49" fontId="16" fillId="0" borderId="31" xfId="0" applyNumberFormat="1" applyFont="1" applyFill="1" applyBorder="1" applyAlignment="1">
      <alignment horizontal="left" vertical="center" wrapText="1" indent="1"/>
    </xf>
    <xf numFmtId="167" fontId="16" fillId="0" borderId="29" xfId="0" applyNumberFormat="1" applyFont="1" applyFill="1" applyBorder="1" applyAlignment="1">
      <alignment horizontal="center" vertical="center" wrapText="1"/>
    </xf>
    <xf numFmtId="167" fontId="16" fillId="0" borderId="46" xfId="0" applyNumberFormat="1" applyFont="1" applyFill="1" applyBorder="1" applyAlignment="1">
      <alignment horizontal="center" vertical="center" wrapText="1"/>
    </xf>
    <xf numFmtId="167" fontId="16" fillId="0" borderId="71" xfId="0" applyNumberFormat="1" applyFont="1" applyFill="1" applyBorder="1" applyAlignment="1">
      <alignment horizontal="center" vertical="center" wrapText="1"/>
    </xf>
    <xf numFmtId="167" fontId="16" fillId="0" borderId="54" xfId="0" applyNumberFormat="1" applyFont="1" applyFill="1" applyBorder="1" applyAlignment="1">
      <alignment horizontal="center" vertical="center" wrapText="1"/>
    </xf>
    <xf numFmtId="167" fontId="16" fillId="0" borderId="68" xfId="0" applyNumberFormat="1" applyFont="1" applyFill="1" applyBorder="1" applyAlignment="1">
      <alignment horizontal="center" vertical="center" wrapText="1"/>
    </xf>
    <xf numFmtId="167" fontId="16" fillId="0" borderId="30" xfId="0" applyNumberFormat="1" applyFont="1" applyFill="1" applyBorder="1" applyAlignment="1">
      <alignment horizontal="center" vertical="center" wrapText="1"/>
    </xf>
    <xf numFmtId="49" fontId="16" fillId="0" borderId="41" xfId="0" applyNumberFormat="1" applyFont="1" applyFill="1" applyBorder="1" applyAlignment="1">
      <alignment horizontal="left" vertical="center" wrapText="1" indent="1"/>
    </xf>
    <xf numFmtId="167" fontId="16" fillId="0" borderId="31" xfId="0" applyNumberFormat="1" applyFont="1" applyFill="1" applyBorder="1" applyAlignment="1">
      <alignment horizontal="center" vertical="center" wrapText="1"/>
    </xf>
    <xf numFmtId="167" fontId="16" fillId="0" borderId="90" xfId="0" applyNumberFormat="1" applyFont="1" applyFill="1" applyBorder="1" applyAlignment="1">
      <alignment horizontal="center" vertical="center" wrapText="1"/>
    </xf>
    <xf numFmtId="49" fontId="16" fillId="4" borderId="40" xfId="0" applyNumberFormat="1" applyFont="1" applyFill="1" applyBorder="1" applyAlignment="1">
      <alignment horizontal="center" vertical="center" wrapText="1"/>
    </xf>
    <xf numFmtId="49" fontId="16" fillId="4" borderId="38" xfId="0" applyNumberFormat="1" applyFont="1" applyFill="1" applyBorder="1" applyAlignment="1">
      <alignment horizontal="center" vertical="center" wrapText="1"/>
    </xf>
    <xf numFmtId="49" fontId="16" fillId="8" borderId="39" xfId="0" applyNumberFormat="1" applyFont="1" applyFill="1" applyBorder="1" applyAlignment="1">
      <alignment horizontal="left" vertical="center" wrapText="1" indent="1"/>
    </xf>
    <xf numFmtId="49" fontId="16" fillId="8" borderId="39" xfId="0" applyNumberFormat="1" applyFont="1" applyFill="1" applyBorder="1" applyAlignment="1">
      <alignment horizontal="center" vertical="center" wrapText="1"/>
    </xf>
    <xf numFmtId="49" fontId="16" fillId="8" borderId="35" xfId="0" applyNumberFormat="1" applyFont="1" applyFill="1" applyBorder="1" applyAlignment="1">
      <alignment horizontal="center" vertical="center" wrapText="1"/>
    </xf>
    <xf numFmtId="167" fontId="16" fillId="8" borderId="18" xfId="0" applyNumberFormat="1" applyFont="1" applyFill="1" applyBorder="1" applyAlignment="1">
      <alignment horizontal="center" vertical="center" wrapText="1"/>
    </xf>
    <xf numFmtId="167" fontId="16" fillId="8" borderId="20" xfId="0" applyNumberFormat="1" applyFont="1" applyFill="1" applyBorder="1" applyAlignment="1">
      <alignment horizontal="center" vertical="center" wrapText="1"/>
    </xf>
    <xf numFmtId="49" fontId="16" fillId="4" borderId="40" xfId="0" applyNumberFormat="1" applyFont="1" applyFill="1" applyBorder="1" applyAlignment="1">
      <alignment horizontal="left" vertical="center" wrapText="1" indent="1"/>
    </xf>
    <xf numFmtId="167" fontId="16" fillId="4" borderId="21" xfId="0" applyNumberFormat="1" applyFont="1" applyFill="1" applyBorder="1" applyAlignment="1">
      <alignment horizontal="center" vertical="center" wrapText="1"/>
    </xf>
    <xf numFmtId="167" fontId="16" fillId="4" borderId="23" xfId="0" applyNumberFormat="1" applyFont="1" applyFill="1" applyBorder="1" applyAlignment="1">
      <alignment horizontal="center" vertical="center" wrapText="1"/>
    </xf>
    <xf numFmtId="167" fontId="16" fillId="4" borderId="72" xfId="0" applyNumberFormat="1" applyFont="1" applyFill="1" applyBorder="1" applyAlignment="1">
      <alignment horizontal="center" vertical="center" wrapText="1"/>
    </xf>
    <xf numFmtId="167" fontId="16" fillId="4" borderId="22" xfId="0" applyNumberFormat="1" applyFont="1" applyFill="1" applyBorder="1" applyAlignment="1">
      <alignment horizontal="center" vertical="center" wrapText="1"/>
    </xf>
    <xf numFmtId="167" fontId="16" fillId="0" borderId="69" xfId="0" applyNumberFormat="1" applyFont="1" applyFill="1" applyBorder="1" applyAlignment="1">
      <alignment horizontal="center" vertical="center" wrapText="1"/>
    </xf>
    <xf numFmtId="49" fontId="16" fillId="12" borderId="103" xfId="0" applyNumberFormat="1" applyFont="1" applyFill="1" applyBorder="1" applyAlignment="1">
      <alignment horizontal="left" vertical="center" wrapText="1" indent="1"/>
    </xf>
    <xf numFmtId="49" fontId="16" fillId="12" borderId="103" xfId="0" applyNumberFormat="1" applyFont="1" applyFill="1" applyBorder="1" applyAlignment="1">
      <alignment horizontal="center" vertical="center" wrapText="1"/>
    </xf>
    <xf numFmtId="49" fontId="16" fillId="12" borderId="104" xfId="0" applyNumberFormat="1" applyFont="1" applyFill="1" applyBorder="1" applyAlignment="1">
      <alignment horizontal="center" vertical="center" wrapText="1"/>
    </xf>
    <xf numFmtId="167" fontId="16" fillId="12" borderId="106" xfId="0" applyNumberFormat="1" applyFont="1" applyFill="1" applyBorder="1" applyAlignment="1">
      <alignment horizontal="center" vertical="center" wrapText="1"/>
    </xf>
    <xf numFmtId="167" fontId="16" fillId="12" borderId="107" xfId="0" applyNumberFormat="1" applyFont="1" applyFill="1" applyBorder="1" applyAlignment="1">
      <alignment horizontal="center" vertical="center" wrapText="1"/>
    </xf>
    <xf numFmtId="167" fontId="16" fillId="12" borderId="108" xfId="0" applyNumberFormat="1" applyFont="1" applyFill="1" applyBorder="1" applyAlignment="1">
      <alignment horizontal="center" vertical="center" wrapText="1"/>
    </xf>
    <xf numFmtId="167" fontId="16" fillId="12" borderId="109" xfId="0" applyNumberFormat="1" applyFont="1" applyFill="1" applyBorder="1" applyAlignment="1">
      <alignment horizontal="center" vertical="center" wrapText="1"/>
    </xf>
    <xf numFmtId="49" fontId="16" fillId="12" borderId="13" xfId="0" applyNumberFormat="1" applyFont="1" applyFill="1" applyBorder="1" applyAlignment="1">
      <alignment horizontal="left" vertical="center" wrapText="1" indent="1"/>
    </xf>
    <xf numFmtId="49" fontId="16" fillId="12" borderId="45" xfId="0" applyNumberFormat="1" applyFont="1" applyFill="1" applyBorder="1" applyAlignment="1">
      <alignment horizontal="center" vertical="center" wrapText="1"/>
    </xf>
    <xf numFmtId="49" fontId="16" fillId="12" borderId="36" xfId="0" applyNumberFormat="1" applyFont="1" applyFill="1" applyBorder="1" applyAlignment="1">
      <alignment horizontal="center" vertical="center" wrapText="1"/>
    </xf>
    <xf numFmtId="49" fontId="16" fillId="12" borderId="53" xfId="0" applyNumberFormat="1" applyFont="1" applyFill="1" applyBorder="1" applyAlignment="1">
      <alignment horizontal="center" vertical="center" wrapText="1"/>
    </xf>
    <xf numFmtId="49" fontId="16" fillId="12" borderId="90" xfId="0" applyNumberFormat="1" applyFont="1" applyFill="1" applyBorder="1" applyAlignment="1">
      <alignment horizontal="center" vertical="center" wrapText="1"/>
    </xf>
    <xf numFmtId="167" fontId="16" fillId="12" borderId="96" xfId="0" applyNumberFormat="1" applyFont="1" applyFill="1" applyBorder="1" applyAlignment="1">
      <alignment horizontal="center" vertical="center"/>
    </xf>
    <xf numFmtId="167" fontId="16" fillId="12" borderId="50" xfId="0" applyNumberFormat="1" applyFont="1" applyFill="1" applyBorder="1" applyAlignment="1">
      <alignment horizontal="center" vertical="center"/>
    </xf>
    <xf numFmtId="49" fontId="16" fillId="8" borderId="18" xfId="0" applyNumberFormat="1" applyFont="1" applyFill="1" applyBorder="1" applyAlignment="1">
      <alignment horizontal="center" vertical="center" wrapText="1"/>
    </xf>
    <xf numFmtId="49" fontId="16" fillId="8" borderId="20" xfId="0" applyNumberFormat="1" applyFont="1" applyFill="1" applyBorder="1" applyAlignment="1">
      <alignment horizontal="center" vertical="center" wrapText="1"/>
    </xf>
    <xf numFmtId="167" fontId="16" fillId="8" borderId="90" xfId="0" applyNumberFormat="1" applyFont="1" applyFill="1" applyBorder="1" applyAlignment="1">
      <alignment horizontal="center" vertical="center" wrapText="1"/>
    </xf>
    <xf numFmtId="16" fontId="16" fillId="0" borderId="22" xfId="0" quotePrefix="1" applyNumberFormat="1" applyFont="1" applyFill="1" applyBorder="1" applyAlignment="1" applyProtection="1">
      <alignment horizontal="center" vertical="center"/>
    </xf>
    <xf numFmtId="0" fontId="16" fillId="0" borderId="22" xfId="0" quotePrefix="1" applyNumberFormat="1" applyFont="1" applyFill="1" applyBorder="1" applyAlignment="1" applyProtection="1">
      <alignment horizontal="center" vertical="center"/>
    </xf>
    <xf numFmtId="49" fontId="16" fillId="4" borderId="29" xfId="0" applyNumberFormat="1" applyFont="1" applyFill="1" applyBorder="1" applyAlignment="1">
      <alignment horizontal="center"/>
    </xf>
    <xf numFmtId="49" fontId="16" fillId="4" borderId="30" xfId="0" applyNumberFormat="1" applyFont="1" applyFill="1" applyBorder="1" applyAlignment="1">
      <alignment horizontal="center"/>
    </xf>
    <xf numFmtId="49" fontId="16" fillId="4" borderId="87" xfId="0" applyNumberFormat="1" applyFont="1" applyFill="1" applyBorder="1" applyAlignment="1">
      <alignment horizontal="center"/>
    </xf>
    <xf numFmtId="49" fontId="16" fillId="4" borderId="29" xfId="0" applyNumberFormat="1" applyFont="1" applyFill="1" applyBorder="1" applyAlignment="1">
      <alignment horizontal="center" vertical="center"/>
    </xf>
    <xf numFmtId="49" fontId="16" fillId="4" borderId="30" xfId="0" applyNumberFormat="1" applyFont="1" applyFill="1" applyBorder="1" applyAlignment="1">
      <alignment horizontal="center" vertical="center"/>
    </xf>
    <xf numFmtId="49" fontId="16" fillId="4" borderId="87" xfId="0" applyNumberFormat="1" applyFont="1" applyFill="1" applyBorder="1" applyAlignment="1">
      <alignment horizontal="center" vertical="center"/>
    </xf>
    <xf numFmtId="49" fontId="16" fillId="4" borderId="54" xfId="0" applyNumberFormat="1" applyFont="1" applyFill="1" applyBorder="1" applyAlignment="1">
      <alignment horizontal="center" vertical="center"/>
    </xf>
    <xf numFmtId="49" fontId="16" fillId="4" borderId="97" xfId="0" applyNumberFormat="1" applyFont="1" applyFill="1" applyBorder="1" applyAlignment="1">
      <alignment horizontal="center" vertical="center"/>
    </xf>
    <xf numFmtId="49" fontId="16" fillId="0" borderId="45" xfId="0" applyNumberFormat="1" applyFont="1" applyFill="1" applyBorder="1" applyAlignment="1">
      <alignment horizontal="center" vertical="center" wrapText="1"/>
    </xf>
    <xf numFmtId="49" fontId="16" fillId="0" borderId="38" xfId="0" applyNumberFormat="1" applyFont="1" applyFill="1" applyBorder="1" applyAlignment="1">
      <alignment horizontal="left" vertical="center" wrapText="1" indent="1"/>
    </xf>
    <xf numFmtId="49" fontId="16" fillId="0" borderId="27" xfId="0" applyNumberFormat="1" applyFont="1" applyFill="1" applyBorder="1" applyAlignment="1">
      <alignment horizontal="left" vertical="center" wrapText="1" indent="1"/>
    </xf>
    <xf numFmtId="49" fontId="16" fillId="10" borderId="22" xfId="0" applyNumberFormat="1" applyFont="1" applyFill="1" applyBorder="1" applyAlignment="1">
      <alignment horizontal="center" vertical="center"/>
    </xf>
    <xf numFmtId="49" fontId="16" fillId="10" borderId="83" xfId="0" applyNumberFormat="1" applyFont="1" applyFill="1" applyBorder="1" applyAlignment="1">
      <alignment horizontal="center" vertical="center"/>
    </xf>
    <xf numFmtId="49" fontId="16" fillId="10" borderId="45" xfId="0" applyNumberFormat="1" applyFont="1" applyFill="1" applyBorder="1" applyAlignment="1">
      <alignment horizontal="left" vertical="center" wrapText="1" indent="4"/>
    </xf>
    <xf numFmtId="49" fontId="16" fillId="10" borderId="30" xfId="0" applyNumberFormat="1" applyFont="1" applyFill="1" applyBorder="1" applyAlignment="1"/>
    <xf numFmtId="49" fontId="16" fillId="10" borderId="46" xfId="0" applyNumberFormat="1" applyFont="1" applyFill="1" applyBorder="1" applyAlignment="1"/>
    <xf numFmtId="167" fontId="16" fillId="10" borderId="29" xfId="0" applyNumberFormat="1" applyFont="1" applyFill="1" applyBorder="1" applyAlignment="1">
      <alignment horizontal="center" vertical="center"/>
    </xf>
    <xf numFmtId="167" fontId="16" fillId="10" borderId="30" xfId="0" applyNumberFormat="1" applyFont="1" applyFill="1" applyBorder="1" applyAlignment="1">
      <alignment horizontal="center" vertical="center"/>
    </xf>
    <xf numFmtId="49" fontId="16" fillId="10" borderId="74" xfId="0" applyNumberFormat="1" applyFont="1" applyFill="1" applyBorder="1" applyAlignment="1">
      <alignment horizontal="left" vertical="center" wrapText="1" indent="4"/>
    </xf>
    <xf numFmtId="49" fontId="16" fillId="10" borderId="33" xfId="0" applyNumberFormat="1" applyFont="1" applyFill="1" applyBorder="1" applyAlignment="1">
      <alignment horizontal="center"/>
    </xf>
    <xf numFmtId="49" fontId="16" fillId="10" borderId="48" xfId="0" applyNumberFormat="1" applyFont="1" applyFill="1" applyBorder="1" applyAlignment="1">
      <alignment horizontal="center"/>
    </xf>
    <xf numFmtId="167" fontId="16" fillId="10" borderId="32" xfId="0" applyNumberFormat="1" applyFont="1" applyFill="1" applyBorder="1" applyAlignment="1">
      <alignment horizontal="right" vertical="center"/>
    </xf>
    <xf numFmtId="167" fontId="16" fillId="10" borderId="33" xfId="0" applyNumberFormat="1" applyFont="1" applyFill="1" applyBorder="1" applyAlignment="1">
      <alignment horizontal="right" vertical="center"/>
    </xf>
    <xf numFmtId="49" fontId="16" fillId="10" borderId="38" xfId="0" applyNumberFormat="1" applyFont="1" applyFill="1" applyBorder="1" applyAlignment="1">
      <alignment horizontal="left" vertical="center" wrapText="1" indent="4"/>
    </xf>
    <xf numFmtId="49" fontId="16" fillId="10" borderId="33" xfId="0" applyNumberFormat="1" applyFont="1" applyFill="1" applyBorder="1" applyAlignment="1">
      <alignment horizontal="center" vertical="center"/>
    </xf>
    <xf numFmtId="49" fontId="16" fillId="10" borderId="88" xfId="0" applyNumberFormat="1" applyFont="1" applyFill="1" applyBorder="1" applyAlignment="1">
      <alignment horizontal="center" vertical="center"/>
    </xf>
    <xf numFmtId="167" fontId="16" fillId="10" borderId="21" xfId="0" applyNumberFormat="1" applyFont="1" applyFill="1" applyBorder="1" applyAlignment="1">
      <alignment horizontal="right" vertical="center"/>
    </xf>
    <xf numFmtId="167" fontId="16" fillId="10" borderId="22" xfId="0" applyNumberFormat="1" applyFont="1" applyFill="1" applyBorder="1" applyAlignment="1">
      <alignment horizontal="right" vertical="center"/>
    </xf>
    <xf numFmtId="49" fontId="16" fillId="10" borderId="38" xfId="0" applyNumberFormat="1" applyFont="1" applyFill="1" applyBorder="1" applyAlignment="1">
      <alignment horizontal="left" vertical="center" wrapText="1" indent="5"/>
    </xf>
    <xf numFmtId="49" fontId="16" fillId="10" borderId="38" xfId="0" applyNumberFormat="1" applyFont="1" applyFill="1" applyBorder="1" applyAlignment="1">
      <alignment vertical="center" wrapText="1"/>
    </xf>
    <xf numFmtId="49" fontId="16" fillId="13" borderId="29" xfId="0" applyNumberFormat="1" applyFont="1" applyFill="1" applyBorder="1" applyAlignment="1">
      <alignment horizontal="center" vertical="center"/>
    </xf>
    <xf numFmtId="49" fontId="16" fillId="11" borderId="21" xfId="0" applyNumberFormat="1" applyFont="1" applyFill="1" applyBorder="1" applyAlignment="1">
      <alignment horizontal="center" vertical="center"/>
    </xf>
    <xf numFmtId="49" fontId="16" fillId="7" borderId="41" xfId="0" applyNumberFormat="1" applyFont="1" applyFill="1" applyBorder="1" applyAlignment="1">
      <alignment horizontal="left" vertical="center" wrapText="1" indent="5"/>
    </xf>
    <xf numFmtId="49" fontId="16" fillId="7" borderId="24" xfId="0" applyNumberFormat="1" applyFont="1" applyFill="1" applyBorder="1" applyAlignment="1">
      <alignment horizontal="center" vertical="center"/>
    </xf>
    <xf numFmtId="167" fontId="16" fillId="10" borderId="87" xfId="0" applyNumberFormat="1" applyFont="1" applyFill="1" applyBorder="1" applyAlignment="1">
      <alignment horizontal="center" vertical="center"/>
    </xf>
    <xf numFmtId="167" fontId="16" fillId="10" borderId="88" xfId="0" applyNumberFormat="1" applyFont="1" applyFill="1" applyBorder="1" applyAlignment="1">
      <alignment horizontal="right" vertical="center"/>
    </xf>
    <xf numFmtId="167" fontId="16" fillId="10" borderId="83" xfId="0" applyNumberFormat="1" applyFont="1" applyFill="1" applyBorder="1" applyAlignment="1">
      <alignment horizontal="right" vertical="center"/>
    </xf>
    <xf numFmtId="49" fontId="16" fillId="0" borderId="40" xfId="0" applyNumberFormat="1" applyFont="1" applyFill="1" applyBorder="1" applyAlignment="1">
      <alignment horizontal="center" vertical="center" wrapText="1"/>
    </xf>
    <xf numFmtId="49" fontId="16" fillId="4" borderId="23" xfId="0" applyNumberFormat="1" applyFont="1" applyFill="1" applyBorder="1" applyAlignment="1">
      <alignment horizontal="center" vertical="center"/>
    </xf>
    <xf numFmtId="0" fontId="16" fillId="0" borderId="20" xfId="0" applyNumberFormat="1" applyFont="1" applyFill="1" applyBorder="1" applyAlignment="1" applyProtection="1">
      <alignment horizontal="left" vertical="center" wrapText="1"/>
    </xf>
    <xf numFmtId="3" fontId="14" fillId="0" borderId="0" xfId="0" applyNumberFormat="1" applyFont="1" applyFill="1" applyBorder="1" applyAlignment="1" applyProtection="1">
      <alignment vertical="top"/>
    </xf>
    <xf numFmtId="167" fontId="16" fillId="2" borderId="49" xfId="0" applyNumberFormat="1" applyFont="1" applyFill="1" applyBorder="1" applyAlignment="1">
      <alignment vertical="center"/>
    </xf>
    <xf numFmtId="49" fontId="16" fillId="13" borderId="45" xfId="0" applyNumberFormat="1" applyFont="1" applyFill="1" applyBorder="1" applyAlignment="1">
      <alignment horizontal="left" vertical="center" wrapText="1" indent="4"/>
    </xf>
    <xf numFmtId="49" fontId="16" fillId="13" borderId="30" xfId="0" applyNumberFormat="1" applyFont="1" applyFill="1" applyBorder="1" applyAlignment="1">
      <alignment horizontal="center" vertical="center"/>
    </xf>
    <xf numFmtId="49" fontId="16" fillId="13" borderId="87" xfId="0" applyNumberFormat="1" applyFont="1" applyFill="1" applyBorder="1" applyAlignment="1">
      <alignment horizontal="center" vertical="center"/>
    </xf>
    <xf numFmtId="167" fontId="16" fillId="13" borderId="29" xfId="0" applyNumberFormat="1" applyFont="1" applyFill="1" applyBorder="1" applyAlignment="1">
      <alignment vertical="center"/>
    </xf>
    <xf numFmtId="167" fontId="16" fillId="13" borderId="30" xfId="0" applyNumberFormat="1" applyFont="1" applyFill="1" applyBorder="1" applyAlignment="1">
      <alignment vertical="center"/>
    </xf>
    <xf numFmtId="167" fontId="16" fillId="13" borderId="46" xfId="0" applyNumberFormat="1" applyFont="1" applyFill="1" applyBorder="1" applyAlignment="1">
      <alignment vertical="center"/>
    </xf>
    <xf numFmtId="0" fontId="16" fillId="0" borderId="113" xfId="0" applyNumberFormat="1" applyFont="1" applyFill="1" applyBorder="1" applyAlignment="1" applyProtection="1">
      <alignment horizontal="center" vertical="center"/>
    </xf>
    <xf numFmtId="0" fontId="16" fillId="0" borderId="116" xfId="0" applyNumberFormat="1" applyFont="1" applyFill="1" applyBorder="1" applyAlignment="1" applyProtection="1">
      <alignment horizontal="center" vertical="center"/>
    </xf>
    <xf numFmtId="0" fontId="16" fillId="0" borderId="117" xfId="0" applyNumberFormat="1" applyFont="1" applyFill="1" applyBorder="1" applyAlignment="1" applyProtection="1">
      <alignment horizontal="center" vertical="center"/>
    </xf>
    <xf numFmtId="0" fontId="16" fillId="0" borderId="118" xfId="0" applyNumberFormat="1" applyFont="1" applyFill="1" applyBorder="1" applyAlignment="1" applyProtection="1">
      <alignment horizontal="center" vertical="center"/>
    </xf>
    <xf numFmtId="0" fontId="50" fillId="8" borderId="0" xfId="0" applyNumberFormat="1" applyFont="1" applyFill="1" applyBorder="1" applyAlignment="1" applyProtection="1">
      <alignment horizontal="right" vertical="center"/>
    </xf>
    <xf numFmtId="0" fontId="16" fillId="14" borderId="22" xfId="0" applyNumberFormat="1" applyFont="1" applyFill="1" applyBorder="1" applyAlignment="1" applyProtection="1">
      <alignment horizontal="center" vertical="center"/>
    </xf>
    <xf numFmtId="0" fontId="16" fillId="14" borderId="23" xfId="0" applyNumberFormat="1" applyFont="1" applyFill="1" applyBorder="1" applyAlignment="1" applyProtection="1">
      <alignment horizontal="left" vertical="center" wrapText="1"/>
    </xf>
    <xf numFmtId="0" fontId="16" fillId="14" borderId="30" xfId="0" applyNumberFormat="1" applyFont="1" applyFill="1" applyBorder="1" applyAlignment="1" applyProtection="1">
      <alignment horizontal="center" vertical="center"/>
    </xf>
    <xf numFmtId="0" fontId="16" fillId="14" borderId="46" xfId="0" applyNumberFormat="1" applyFont="1" applyFill="1" applyBorder="1" applyAlignment="1" applyProtection="1">
      <alignment horizontal="left" vertical="center" wrapText="1"/>
    </xf>
    <xf numFmtId="0" fontId="16" fillId="14" borderId="42" xfId="0" applyNumberFormat="1" applyFont="1" applyFill="1" applyBorder="1" applyAlignment="1" applyProtection="1">
      <alignment horizontal="center" vertical="center"/>
    </xf>
    <xf numFmtId="0" fontId="16" fillId="14" borderId="43" xfId="0" applyNumberFormat="1" applyFont="1" applyFill="1" applyBorder="1" applyAlignment="1" applyProtection="1">
      <alignment horizontal="center" vertical="center"/>
    </xf>
    <xf numFmtId="0" fontId="16" fillId="14" borderId="52" xfId="0" applyNumberFormat="1" applyFont="1" applyFill="1" applyBorder="1" applyAlignment="1" applyProtection="1">
      <alignment horizontal="left" vertical="center"/>
    </xf>
    <xf numFmtId="0" fontId="16" fillId="14" borderId="18" xfId="0" applyNumberFormat="1" applyFont="1" applyFill="1" applyBorder="1" applyAlignment="1" applyProtection="1">
      <alignment horizontal="center" vertical="center"/>
    </xf>
    <xf numFmtId="0" fontId="16" fillId="14" borderId="19" xfId="0" applyNumberFormat="1" applyFont="1" applyFill="1" applyBorder="1" applyAlignment="1" applyProtection="1">
      <alignment horizontal="center" vertical="center"/>
    </xf>
    <xf numFmtId="0" fontId="16" fillId="14" borderId="81" xfId="0" applyNumberFormat="1" applyFont="1" applyFill="1" applyBorder="1" applyAlignment="1" applyProtection="1">
      <alignment horizontal="left" vertical="center" wrapText="1"/>
    </xf>
    <xf numFmtId="4" fontId="16" fillId="14" borderId="19" xfId="0" applyNumberFormat="1" applyFont="1" applyFill="1" applyBorder="1" applyAlignment="1" applyProtection="1">
      <alignment horizontal="center" vertical="center" shrinkToFit="1"/>
    </xf>
    <xf numFmtId="0" fontId="14" fillId="14" borderId="0" xfId="0" applyNumberFormat="1" applyFont="1" applyFill="1" applyBorder="1" applyAlignment="1" applyProtection="1">
      <alignment vertical="top"/>
    </xf>
    <xf numFmtId="0" fontId="16" fillId="14" borderId="21" xfId="0" applyNumberFormat="1" applyFont="1" applyFill="1" applyBorder="1" applyAlignment="1" applyProtection="1">
      <alignment horizontal="center" vertical="center"/>
    </xf>
    <xf numFmtId="0" fontId="14" fillId="14" borderId="0" xfId="0" applyNumberFormat="1" applyFont="1" applyFill="1" applyBorder="1" applyAlignment="1" applyProtection="1">
      <alignment horizontal="left" vertical="center"/>
    </xf>
    <xf numFmtId="0" fontId="16" fillId="14" borderId="29" xfId="0" applyNumberFormat="1" applyFont="1" applyFill="1" applyBorder="1" applyAlignment="1" applyProtection="1">
      <alignment horizontal="center" vertical="center"/>
    </xf>
    <xf numFmtId="4" fontId="14" fillId="14" borderId="0" xfId="0" applyNumberFormat="1" applyFont="1" applyFill="1" applyBorder="1" applyAlignment="1" applyProtection="1">
      <alignment vertical="top"/>
    </xf>
    <xf numFmtId="0" fontId="16" fillId="0" borderId="83" xfId="0" applyNumberFormat="1" applyFont="1" applyFill="1" applyBorder="1" applyAlignment="1" applyProtection="1">
      <alignment horizontal="left" vertical="center" wrapText="1"/>
    </xf>
    <xf numFmtId="4" fontId="25" fillId="0" borderId="30" xfId="0" applyNumberFormat="1" applyFont="1" applyFill="1" applyBorder="1" applyAlignment="1" applyProtection="1">
      <alignment horizontal="center" vertical="center" shrinkToFit="1"/>
    </xf>
    <xf numFmtId="4" fontId="16" fillId="0" borderId="87" xfId="0" applyNumberFormat="1" applyFont="1" applyFill="1" applyBorder="1" applyAlignment="1" applyProtection="1">
      <alignment horizontal="center" vertical="center" shrinkToFit="1"/>
    </xf>
    <xf numFmtId="4" fontId="16" fillId="0" borderId="31" xfId="0" applyNumberFormat="1" applyFont="1" applyFill="1" applyBorder="1" applyAlignment="1" applyProtection="1">
      <alignment horizontal="center" vertical="center" shrinkToFit="1"/>
    </xf>
    <xf numFmtId="0" fontId="16" fillId="0" borderId="0" xfId="0" applyFont="1" applyBorder="1" applyAlignment="1">
      <alignment horizontal="right" vertical="center" indent="1"/>
    </xf>
    <xf numFmtId="49" fontId="16" fillId="11" borderId="13" xfId="0" applyNumberFormat="1" applyFont="1" applyFill="1" applyBorder="1" applyAlignment="1">
      <alignment horizontal="left" vertical="center" wrapText="1" indent="5"/>
    </xf>
    <xf numFmtId="49" fontId="16" fillId="11" borderId="53" xfId="0" applyNumberFormat="1" applyFont="1" applyFill="1" applyBorder="1" applyAlignment="1">
      <alignment horizontal="center" vertical="center"/>
    </xf>
    <xf numFmtId="49" fontId="16" fillId="11" borderId="54" xfId="0" applyNumberFormat="1" applyFont="1" applyFill="1" applyBorder="1" applyAlignment="1">
      <alignment horizontal="center" vertical="center"/>
    </xf>
    <xf numFmtId="49" fontId="16" fillId="11" borderId="97" xfId="0" applyNumberFormat="1" applyFont="1" applyFill="1" applyBorder="1" applyAlignment="1">
      <alignment horizontal="center" vertical="center"/>
    </xf>
    <xf numFmtId="167" fontId="16" fillId="11" borderId="53" xfId="0" applyNumberFormat="1" applyFont="1" applyFill="1" applyBorder="1" applyAlignment="1">
      <alignment vertical="center"/>
    </xf>
    <xf numFmtId="167" fontId="16" fillId="11" borderId="54" xfId="0" applyNumberFormat="1" applyFont="1" applyFill="1" applyBorder="1" applyAlignment="1">
      <alignment vertical="center"/>
    </xf>
    <xf numFmtId="167" fontId="16" fillId="11" borderId="90" xfId="0" applyNumberFormat="1" applyFont="1" applyFill="1" applyBorder="1" applyAlignment="1">
      <alignment vertical="center"/>
    </xf>
    <xf numFmtId="4" fontId="24" fillId="0" borderId="22" xfId="1" applyNumberFormat="1" applyFont="1" applyBorder="1" applyAlignment="1">
      <alignment horizontal="center" vertical="center" wrapText="1"/>
    </xf>
    <xf numFmtId="4" fontId="24" fillId="0" borderId="25" xfId="1" applyNumberFormat="1" applyFont="1" applyBorder="1" applyAlignment="1">
      <alignment horizontal="center" vertical="center" wrapText="1"/>
    </xf>
    <xf numFmtId="4" fontId="16" fillId="14" borderId="22" xfId="0" applyNumberFormat="1" applyFont="1" applyFill="1" applyBorder="1" applyAlignment="1" applyProtection="1">
      <alignment horizontal="center" vertical="center" shrinkToFit="1"/>
    </xf>
    <xf numFmtId="4" fontId="16" fillId="0" borderId="22" xfId="0" applyNumberFormat="1" applyFont="1" applyFill="1" applyBorder="1" applyAlignment="1" applyProtection="1">
      <alignment horizontal="center" vertical="center" shrinkToFit="1"/>
    </xf>
    <xf numFmtId="4" fontId="16" fillId="0" borderId="33" xfId="0" applyNumberFormat="1" applyFont="1" applyFill="1" applyBorder="1" applyAlignment="1" applyProtection="1">
      <alignment horizontal="center" vertical="center" shrinkToFit="1"/>
    </xf>
    <xf numFmtId="4" fontId="17" fillId="0" borderId="93" xfId="0" applyNumberFormat="1" applyFont="1" applyFill="1" applyBorder="1" applyAlignment="1" applyProtection="1">
      <alignment horizontal="center" vertical="center" shrinkToFit="1"/>
    </xf>
    <xf numFmtId="4" fontId="16" fillId="0" borderId="48" xfId="0" applyNumberFormat="1" applyFont="1" applyFill="1" applyBorder="1" applyAlignment="1" applyProtection="1">
      <alignment horizontal="center" vertical="center" shrinkToFit="1"/>
    </xf>
    <xf numFmtId="4" fontId="16" fillId="0" borderId="75" xfId="0" applyNumberFormat="1" applyFont="1" applyFill="1" applyBorder="1" applyAlignment="1" applyProtection="1">
      <alignment horizontal="center" vertical="center" shrinkToFit="1"/>
    </xf>
    <xf numFmtId="4" fontId="16" fillId="0" borderId="72" xfId="0" applyNumberFormat="1" applyFont="1" applyFill="1" applyBorder="1" applyAlignment="1" applyProtection="1">
      <alignment horizontal="center" vertical="center" shrinkToFit="1"/>
    </xf>
    <xf numFmtId="4" fontId="16" fillId="0" borderId="23" xfId="0" applyNumberFormat="1" applyFont="1" applyFill="1" applyBorder="1" applyAlignment="1" applyProtection="1">
      <alignment horizontal="center" vertical="center" shrinkToFit="1"/>
    </xf>
    <xf numFmtId="4" fontId="16" fillId="0" borderId="21" xfId="0" applyNumberFormat="1" applyFont="1" applyFill="1" applyBorder="1" applyAlignment="1" applyProtection="1">
      <alignment horizontal="center" vertical="center" shrinkToFit="1"/>
    </xf>
    <xf numFmtId="4" fontId="16" fillId="0" borderId="18" xfId="0" applyNumberFormat="1" applyFont="1" applyFill="1" applyBorder="1" applyAlignment="1" applyProtection="1">
      <alignment horizontal="center" vertical="center" shrinkToFit="1"/>
    </xf>
    <xf numFmtId="4" fontId="16" fillId="0" borderId="19" xfId="0" applyNumberFormat="1" applyFont="1" applyFill="1" applyBorder="1" applyAlignment="1" applyProtection="1">
      <alignment horizontal="center" vertical="center" shrinkToFit="1"/>
    </xf>
    <xf numFmtId="4" fontId="16" fillId="0" borderId="24" xfId="0" applyNumberFormat="1" applyFont="1" applyFill="1" applyBorder="1" applyAlignment="1" applyProtection="1">
      <alignment horizontal="center" vertical="center" shrinkToFit="1"/>
    </xf>
    <xf numFmtId="4" fontId="16" fillId="0" borderId="25" xfId="0" applyNumberFormat="1" applyFont="1" applyFill="1" applyBorder="1" applyAlignment="1" applyProtection="1">
      <alignment horizontal="center" vertical="center" shrinkToFit="1"/>
    </xf>
    <xf numFmtId="4" fontId="16" fillId="0" borderId="26" xfId="0" applyNumberFormat="1" applyFont="1" applyFill="1" applyBorder="1" applyAlignment="1" applyProtection="1">
      <alignment horizontal="center" vertical="center" shrinkToFit="1"/>
    </xf>
    <xf numFmtId="4" fontId="17" fillId="0" borderId="94" xfId="0" applyNumberFormat="1" applyFont="1" applyFill="1" applyBorder="1" applyAlignment="1" applyProtection="1">
      <alignment horizontal="center" vertical="center" shrinkToFit="1"/>
    </xf>
    <xf numFmtId="4" fontId="17" fillId="0" borderId="16" xfId="0" applyNumberFormat="1" applyFont="1" applyFill="1" applyBorder="1" applyAlignment="1" applyProtection="1">
      <alignment horizontal="center" vertical="center" shrinkToFit="1"/>
    </xf>
    <xf numFmtId="4" fontId="17" fillId="0" borderId="95" xfId="0" applyNumberFormat="1" applyFont="1" applyFill="1" applyBorder="1" applyAlignment="1" applyProtection="1">
      <alignment horizontal="center" vertical="center" shrinkToFit="1"/>
    </xf>
    <xf numFmtId="4" fontId="16" fillId="0" borderId="78" xfId="0" applyNumberFormat="1" applyFont="1" applyFill="1" applyBorder="1" applyAlignment="1" applyProtection="1">
      <alignment horizontal="center" vertical="center" shrinkToFit="1"/>
    </xf>
    <xf numFmtId="4" fontId="17" fillId="0" borderId="15" xfId="0" applyNumberFormat="1" applyFont="1" applyFill="1" applyBorder="1" applyAlignment="1" applyProtection="1">
      <alignment horizontal="center" vertical="center" shrinkToFit="1"/>
    </xf>
    <xf numFmtId="4" fontId="17" fillId="0" borderId="43" xfId="0" applyNumberFormat="1" applyFont="1" applyFill="1" applyBorder="1" applyAlignment="1" applyProtection="1">
      <alignment horizontal="center" vertical="center" shrinkToFit="1"/>
    </xf>
    <xf numFmtId="4" fontId="16" fillId="0" borderId="20" xfId="0" applyNumberFormat="1" applyFont="1" applyFill="1" applyBorder="1" applyAlignment="1" applyProtection="1">
      <alignment horizontal="center" vertical="center" shrinkToFit="1"/>
    </xf>
    <xf numFmtId="4" fontId="17" fillId="0" borderId="42" xfId="0" applyNumberFormat="1" applyFont="1" applyFill="1" applyBorder="1" applyAlignment="1" applyProtection="1">
      <alignment horizontal="center" vertical="center" shrinkToFit="1"/>
    </xf>
    <xf numFmtId="4" fontId="17" fillId="0" borderId="44" xfId="0" applyNumberFormat="1" applyFont="1" applyFill="1" applyBorder="1" applyAlignment="1" applyProtection="1">
      <alignment horizontal="center" vertical="center" shrinkToFit="1"/>
    </xf>
    <xf numFmtId="4" fontId="16" fillId="0" borderId="30" xfId="0" applyNumberFormat="1" applyFont="1" applyFill="1" applyBorder="1" applyAlignment="1" applyProtection="1">
      <alignment horizontal="center" vertical="center" shrinkToFit="1"/>
    </xf>
    <xf numFmtId="4" fontId="16" fillId="0" borderId="46" xfId="0" applyNumberFormat="1" applyFont="1" applyFill="1" applyBorder="1" applyAlignment="1" applyProtection="1">
      <alignment horizontal="center" vertical="center" shrinkToFit="1"/>
    </xf>
    <xf numFmtId="4" fontId="16" fillId="0" borderId="83" xfId="0" applyNumberFormat="1" applyFont="1" applyFill="1" applyBorder="1" applyAlignment="1" applyProtection="1">
      <alignment horizontal="center" vertical="center" shrinkToFit="1"/>
    </xf>
    <xf numFmtId="4" fontId="16" fillId="0" borderId="54" xfId="0" applyNumberFormat="1" applyFont="1" applyFill="1" applyBorder="1" applyAlignment="1" applyProtection="1">
      <alignment horizontal="center" vertical="center" shrinkToFit="1"/>
    </xf>
    <xf numFmtId="4" fontId="16" fillId="0" borderId="29" xfId="0" applyNumberFormat="1" applyFont="1" applyFill="1" applyBorder="1" applyAlignment="1" applyProtection="1">
      <alignment horizontal="center" vertical="center" shrinkToFit="1"/>
    </xf>
    <xf numFmtId="4" fontId="16" fillId="0" borderId="85" xfId="0" applyNumberFormat="1" applyFont="1" applyFill="1" applyBorder="1" applyAlignment="1" applyProtection="1">
      <alignment horizontal="center" vertical="center" shrinkToFit="1"/>
    </xf>
    <xf numFmtId="4" fontId="16" fillId="0" borderId="71" xfId="0" applyNumberFormat="1" applyFont="1" applyFill="1" applyBorder="1" applyAlignment="1" applyProtection="1">
      <alignment horizontal="center" vertical="center" shrinkToFit="1"/>
    </xf>
    <xf numFmtId="4" fontId="16" fillId="0" borderId="88" xfId="0" applyNumberFormat="1" applyFont="1" applyFill="1" applyBorder="1" applyAlignment="1" applyProtection="1">
      <alignment horizontal="center" vertical="center" shrinkToFit="1"/>
    </xf>
    <xf numFmtId="4" fontId="16" fillId="0" borderId="77" xfId="0" applyNumberFormat="1" applyFont="1" applyFill="1" applyBorder="1" applyAlignment="1" applyProtection="1">
      <alignment horizontal="center" vertical="center" shrinkToFit="1"/>
    </xf>
    <xf numFmtId="0" fontId="17" fillId="0" borderId="0" xfId="0" applyFont="1" applyAlignment="1">
      <alignment horizontal="left" vertical="center" wrapText="1" indent="1"/>
    </xf>
    <xf numFmtId="4" fontId="58" fillId="0" borderId="0" xfId="1" applyNumberFormat="1" applyFont="1" applyFill="1" applyBorder="1" applyAlignment="1">
      <alignment horizontal="center" vertical="center" shrinkToFit="1"/>
    </xf>
    <xf numFmtId="4" fontId="58" fillId="0" borderId="112" xfId="1" applyNumberFormat="1" applyFont="1" applyFill="1" applyBorder="1" applyAlignment="1">
      <alignment horizontal="center" vertical="center" shrinkToFit="1"/>
    </xf>
    <xf numFmtId="0" fontId="0" fillId="0" borderId="111" xfId="0" applyBorder="1"/>
    <xf numFmtId="0" fontId="0" fillId="0" borderId="0" xfId="0" applyBorder="1"/>
    <xf numFmtId="0" fontId="0" fillId="0" borderId="112" xfId="0" applyBorder="1"/>
    <xf numFmtId="4" fontId="59" fillId="0" borderId="0" xfId="0" applyNumberFormat="1" applyFont="1" applyBorder="1" applyAlignment="1">
      <alignment horizontal="center" vertical="center" shrinkToFit="1"/>
    </xf>
    <xf numFmtId="4" fontId="59" fillId="0" borderId="112" xfId="0" applyNumberFormat="1" applyFont="1" applyBorder="1" applyAlignment="1">
      <alignment horizontal="center" vertical="center" shrinkToFit="1"/>
    </xf>
    <xf numFmtId="4" fontId="0" fillId="0" borderId="0" xfId="0" applyNumberFormat="1" applyBorder="1"/>
    <xf numFmtId="4" fontId="0" fillId="0" borderId="111" xfId="0" applyNumberFormat="1" applyBorder="1"/>
    <xf numFmtId="4" fontId="58" fillId="0" borderId="111" xfId="1" applyNumberFormat="1" applyFont="1" applyFill="1" applyBorder="1" applyAlignment="1">
      <alignment horizontal="right" vertical="center" shrinkToFit="1"/>
    </xf>
    <xf numFmtId="4" fontId="58" fillId="0" borderId="0" xfId="1" applyNumberFormat="1" applyFont="1" applyFill="1" applyBorder="1" applyAlignment="1">
      <alignment horizontal="right" vertical="center" shrinkToFit="1"/>
    </xf>
    <xf numFmtId="4" fontId="38" fillId="0" borderId="0" xfId="0" applyNumberFormat="1" applyFont="1" applyBorder="1" applyAlignment="1">
      <alignment horizontal="right" vertical="center" shrinkToFit="1"/>
    </xf>
    <xf numFmtId="4" fontId="36" fillId="0" borderId="111" xfId="0" applyNumberFormat="1" applyFont="1" applyBorder="1" applyAlignment="1">
      <alignment horizontal="right" vertical="center" shrinkToFit="1"/>
    </xf>
    <xf numFmtId="4" fontId="36" fillId="0" borderId="0" xfId="0" applyNumberFormat="1" applyFont="1" applyBorder="1" applyAlignment="1">
      <alignment horizontal="right" vertical="center" shrinkToFit="1"/>
    </xf>
    <xf numFmtId="4" fontId="36" fillId="0" borderId="112" xfId="0" applyNumberFormat="1" applyFont="1" applyBorder="1" applyAlignment="1">
      <alignment horizontal="right" vertical="center" shrinkToFit="1"/>
    </xf>
    <xf numFmtId="4" fontId="57" fillId="0" borderId="0" xfId="0" applyNumberFormat="1" applyFont="1" applyBorder="1" applyAlignment="1">
      <alignment horizontal="right" vertical="center" shrinkToFit="1"/>
    </xf>
    <xf numFmtId="4" fontId="57" fillId="0" borderId="0" xfId="0" applyNumberFormat="1" applyFont="1" applyBorder="1" applyAlignment="1">
      <alignment horizontal="right" shrinkToFit="1"/>
    </xf>
    <xf numFmtId="4" fontId="57" fillId="0" borderId="112" xfId="0" applyNumberFormat="1" applyFont="1" applyBorder="1" applyAlignment="1">
      <alignment horizontal="right" shrinkToFit="1"/>
    </xf>
    <xf numFmtId="4" fontId="58" fillId="0" borderId="137" xfId="1" applyNumberFormat="1" applyFont="1" applyFill="1" applyBorder="1" applyAlignment="1">
      <alignment horizontal="right" vertical="center" shrinkToFit="1"/>
    </xf>
    <xf numFmtId="4" fontId="58" fillId="0" borderId="22" xfId="1" applyNumberFormat="1" applyFont="1" applyFill="1" applyBorder="1" applyAlignment="1">
      <alignment horizontal="right" vertical="center" shrinkToFit="1"/>
    </xf>
    <xf numFmtId="4" fontId="38" fillId="0" borderId="22" xfId="0" applyNumberFormat="1" applyFont="1" applyBorder="1" applyAlignment="1">
      <alignment horizontal="right" vertical="center" shrinkToFit="1"/>
    </xf>
    <xf numFmtId="4" fontId="59" fillId="0" borderId="22" xfId="0" applyNumberFormat="1" applyFont="1" applyBorder="1" applyAlignment="1">
      <alignment horizontal="center" vertical="center" shrinkToFit="1"/>
    </xf>
    <xf numFmtId="4" fontId="59" fillId="0" borderId="138" xfId="0" applyNumberFormat="1" applyFont="1" applyBorder="1" applyAlignment="1">
      <alignment horizontal="center" vertical="center" shrinkToFit="1"/>
    </xf>
    <xf numFmtId="4" fontId="58" fillId="0" borderId="22" xfId="1" applyNumberFormat="1" applyFont="1" applyFill="1" applyBorder="1" applyAlignment="1">
      <alignment horizontal="center" vertical="center" shrinkToFit="1"/>
    </xf>
    <xf numFmtId="4" fontId="58" fillId="0" borderId="138" xfId="1" applyNumberFormat="1" applyFont="1" applyFill="1" applyBorder="1" applyAlignment="1">
      <alignment horizontal="center" vertical="center" shrinkToFit="1"/>
    </xf>
    <xf numFmtId="4" fontId="58" fillId="0" borderId="135" xfId="1" applyNumberFormat="1" applyFont="1" applyFill="1" applyBorder="1" applyAlignment="1">
      <alignment horizontal="right" vertical="center" shrinkToFit="1"/>
    </xf>
    <xf numFmtId="4" fontId="58" fillId="0" borderId="33" xfId="1" applyNumberFormat="1" applyFont="1" applyFill="1" applyBorder="1" applyAlignment="1">
      <alignment horizontal="right" vertical="center" shrinkToFit="1"/>
    </xf>
    <xf numFmtId="4" fontId="38" fillId="0" borderId="33" xfId="0" applyNumberFormat="1" applyFont="1" applyBorder="1" applyAlignment="1">
      <alignment horizontal="right" vertical="center" shrinkToFit="1"/>
    </xf>
    <xf numFmtId="4" fontId="58" fillId="0" borderId="33" xfId="1" applyNumberFormat="1" applyFont="1" applyFill="1" applyBorder="1" applyAlignment="1">
      <alignment horizontal="center" vertical="center" shrinkToFit="1"/>
    </xf>
    <xf numFmtId="4" fontId="58" fillId="0" borderId="136" xfId="1" applyNumberFormat="1" applyFont="1" applyFill="1" applyBorder="1" applyAlignment="1">
      <alignment horizontal="center" vertical="center" shrinkToFit="1"/>
    </xf>
    <xf numFmtId="4" fontId="59" fillId="0" borderId="33" xfId="0" applyNumberFormat="1" applyFont="1" applyBorder="1" applyAlignment="1">
      <alignment horizontal="center" vertical="center" shrinkToFit="1"/>
    </xf>
    <xf numFmtId="4" fontId="59" fillId="0" borderId="136" xfId="0" applyNumberFormat="1" applyFont="1" applyBorder="1" applyAlignment="1">
      <alignment horizontal="center" vertical="center" shrinkToFit="1"/>
    </xf>
    <xf numFmtId="0" fontId="26" fillId="0" borderId="0" xfId="1" applyFont="1" applyAlignment="1">
      <alignment horizontal="center" vertical="center"/>
    </xf>
    <xf numFmtId="4" fontId="36" fillId="0" borderId="141" xfId="0" applyNumberFormat="1" applyFont="1" applyBorder="1" applyAlignment="1">
      <alignment horizontal="right" vertical="center" shrinkToFit="1"/>
    </xf>
    <xf numFmtId="4" fontId="36" fillId="0" borderId="131" xfId="0" applyNumberFormat="1" applyFont="1" applyBorder="1" applyAlignment="1">
      <alignment horizontal="right" vertical="center" shrinkToFit="1"/>
    </xf>
    <xf numFmtId="4" fontId="36" fillId="0" borderId="134" xfId="0" applyNumberFormat="1" applyFont="1" applyBorder="1" applyAlignment="1">
      <alignment horizontal="right" vertical="center" shrinkToFit="1"/>
    </xf>
    <xf numFmtId="4" fontId="57" fillId="0" borderId="131" xfId="0" applyNumberFormat="1" applyFont="1" applyBorder="1" applyAlignment="1">
      <alignment horizontal="right" vertical="center" shrinkToFit="1"/>
    </xf>
    <xf numFmtId="4" fontId="57" fillId="0" borderId="131" xfId="0" applyNumberFormat="1" applyFont="1" applyBorder="1" applyAlignment="1">
      <alignment horizontal="right" shrinkToFit="1"/>
    </xf>
    <xf numFmtId="4" fontId="57" fillId="0" borderId="134" xfId="0" applyNumberFormat="1" applyFont="1" applyBorder="1" applyAlignment="1">
      <alignment horizontal="right" shrinkToFit="1"/>
    </xf>
    <xf numFmtId="4" fontId="36" fillId="0" borderId="143" xfId="0" applyNumberFormat="1" applyFont="1" applyBorder="1" applyAlignment="1">
      <alignment horizontal="right" vertical="center" shrinkToFit="1"/>
    </xf>
    <xf numFmtId="4" fontId="36" fillId="0" borderId="69" xfId="0" applyNumberFormat="1" applyFont="1" applyBorder="1" applyAlignment="1">
      <alignment horizontal="right" vertical="center" shrinkToFit="1"/>
    </xf>
    <xf numFmtId="4" fontId="36" fillId="0" borderId="142" xfId="0" applyNumberFormat="1" applyFont="1" applyBorder="1" applyAlignment="1">
      <alignment horizontal="right" vertical="center" shrinkToFit="1"/>
    </xf>
    <xf numFmtId="4" fontId="57" fillId="0" borderId="69" xfId="0" applyNumberFormat="1" applyFont="1" applyBorder="1" applyAlignment="1">
      <alignment horizontal="right" vertical="center" shrinkToFit="1"/>
    </xf>
    <xf numFmtId="4" fontId="57" fillId="0" borderId="69" xfId="0" applyNumberFormat="1" applyFont="1" applyBorder="1" applyAlignment="1">
      <alignment horizontal="right" shrinkToFit="1"/>
    </xf>
    <xf numFmtId="4" fontId="57" fillId="0" borderId="142" xfId="0" applyNumberFormat="1" applyFont="1" applyBorder="1" applyAlignment="1">
      <alignment horizontal="right" shrinkToFit="1"/>
    </xf>
    <xf numFmtId="4" fontId="36" fillId="0" borderId="144" xfId="0" applyNumberFormat="1" applyFont="1" applyBorder="1" applyAlignment="1">
      <alignment horizontal="right" vertical="center" shrinkToFit="1"/>
    </xf>
    <xf numFmtId="4" fontId="36" fillId="0" borderId="67" xfId="0" applyNumberFormat="1" applyFont="1" applyBorder="1" applyAlignment="1">
      <alignment horizontal="right" vertical="center" shrinkToFit="1"/>
    </xf>
    <xf numFmtId="4" fontId="36" fillId="0" borderId="140" xfId="0" applyNumberFormat="1" applyFont="1" applyBorder="1" applyAlignment="1">
      <alignment horizontal="right" vertical="center" shrinkToFit="1"/>
    </xf>
    <xf numFmtId="4" fontId="57" fillId="0" borderId="67" xfId="0" applyNumberFormat="1" applyFont="1" applyBorder="1" applyAlignment="1">
      <alignment horizontal="right" vertical="center" shrinkToFit="1"/>
    </xf>
    <xf numFmtId="4" fontId="57" fillId="0" borderId="67" xfId="0" applyNumberFormat="1" applyFont="1" applyBorder="1" applyAlignment="1">
      <alignment horizontal="right" shrinkToFit="1"/>
    </xf>
    <xf numFmtId="4" fontId="57" fillId="0" borderId="140" xfId="0" applyNumberFormat="1" applyFont="1" applyBorder="1" applyAlignment="1">
      <alignment horizontal="right" shrinkToFit="1"/>
    </xf>
    <xf numFmtId="4" fontId="56" fillId="0" borderId="143" xfId="1" applyNumberFormat="1" applyFont="1" applyFill="1" applyBorder="1" applyAlignment="1">
      <alignment horizontal="right" vertical="center" shrinkToFit="1"/>
    </xf>
    <xf numFmtId="4" fontId="56" fillId="0" borderId="69" xfId="1" applyNumberFormat="1" applyFont="1" applyFill="1" applyBorder="1" applyAlignment="1">
      <alignment horizontal="right" vertical="center" shrinkToFit="1"/>
    </xf>
    <xf numFmtId="4" fontId="56" fillId="0" borderId="142" xfId="1" applyNumberFormat="1" applyFont="1" applyFill="1" applyBorder="1" applyAlignment="1">
      <alignment horizontal="right" vertical="center" shrinkToFit="1"/>
    </xf>
    <xf numFmtId="4" fontId="58" fillId="0" borderId="146" xfId="1" applyNumberFormat="1" applyFont="1" applyFill="1" applyBorder="1" applyAlignment="1">
      <alignment horizontal="right" vertical="center" shrinkToFit="1"/>
    </xf>
    <xf numFmtId="4" fontId="58" fillId="0" borderId="25" xfId="1" applyNumberFormat="1" applyFont="1" applyFill="1" applyBorder="1" applyAlignment="1">
      <alignment horizontal="right" vertical="center" shrinkToFit="1"/>
    </xf>
    <xf numFmtId="4" fontId="38" fillId="0" borderId="25" xfId="0" applyNumberFormat="1" applyFont="1" applyBorder="1" applyAlignment="1">
      <alignment horizontal="right" vertical="center" shrinkToFit="1"/>
    </xf>
    <xf numFmtId="4" fontId="58" fillId="0" borderId="25" xfId="1" applyNumberFormat="1" applyFont="1" applyFill="1" applyBorder="1" applyAlignment="1">
      <alignment horizontal="center" vertical="center" shrinkToFit="1"/>
    </xf>
    <xf numFmtId="4" fontId="58" fillId="0" borderId="147" xfId="1" applyNumberFormat="1" applyFont="1" applyFill="1" applyBorder="1" applyAlignment="1">
      <alignment horizontal="center" vertical="center" shrinkToFit="1"/>
    </xf>
    <xf numFmtId="4" fontId="59" fillId="0" borderId="25" xfId="0" applyNumberFormat="1" applyFont="1" applyBorder="1" applyAlignment="1">
      <alignment horizontal="center" vertical="center" shrinkToFit="1"/>
    </xf>
    <xf numFmtId="4" fontId="59" fillId="0" borderId="147" xfId="0" applyNumberFormat="1" applyFont="1" applyBorder="1" applyAlignment="1">
      <alignment horizontal="center" vertical="center" shrinkToFit="1"/>
    </xf>
    <xf numFmtId="4" fontId="36" fillId="0" borderId="148" xfId="0" applyNumberFormat="1" applyFont="1" applyBorder="1" applyAlignment="1">
      <alignment horizontal="right" vertical="center" shrinkToFit="1"/>
    </xf>
    <xf numFmtId="4" fontId="36" fillId="0" borderId="70" xfId="0" applyNumberFormat="1" applyFont="1" applyBorder="1" applyAlignment="1">
      <alignment horizontal="right" vertical="center" shrinkToFit="1"/>
    </xf>
    <xf numFmtId="4" fontId="36" fillId="0" borderId="145" xfId="0" applyNumberFormat="1" applyFont="1" applyBorder="1" applyAlignment="1">
      <alignment horizontal="right" vertical="center" shrinkToFit="1"/>
    </xf>
    <xf numFmtId="4" fontId="57" fillId="0" borderId="70" xfId="0" applyNumberFormat="1" applyFont="1" applyBorder="1" applyAlignment="1">
      <alignment horizontal="right" vertical="center" shrinkToFit="1"/>
    </xf>
    <xf numFmtId="4" fontId="57" fillId="0" borderId="70" xfId="0" applyNumberFormat="1" applyFont="1" applyBorder="1" applyAlignment="1">
      <alignment horizontal="right" shrinkToFit="1"/>
    </xf>
    <xf numFmtId="4" fontId="57" fillId="0" borderId="145" xfId="0" applyNumberFormat="1" applyFont="1" applyBorder="1" applyAlignment="1">
      <alignment horizontal="right" shrinkToFit="1"/>
    </xf>
    <xf numFmtId="4" fontId="60" fillId="0" borderId="131" xfId="0" applyNumberFormat="1" applyFont="1" applyBorder="1" applyAlignment="1">
      <alignment horizontal="right" vertical="center" shrinkToFit="1"/>
    </xf>
    <xf numFmtId="0" fontId="31" fillId="0" borderId="0" xfId="1" applyFont="1" applyAlignment="1">
      <alignment horizontal="left" indent="1"/>
    </xf>
    <xf numFmtId="0" fontId="31" fillId="0" borderId="0" xfId="1" applyFont="1" applyAlignment="1">
      <alignment horizontal="left" vertical="center" indent="1"/>
    </xf>
    <xf numFmtId="4" fontId="25" fillId="0" borderId="22" xfId="1" applyNumberFormat="1" applyFont="1" applyFill="1" applyBorder="1" applyAlignment="1">
      <alignment horizontal="center" vertical="center"/>
    </xf>
    <xf numFmtId="168" fontId="16" fillId="0" borderId="67" xfId="0" applyNumberFormat="1" applyFont="1" applyFill="1" applyBorder="1" applyAlignment="1" applyProtection="1">
      <alignment horizontal="center" vertical="center" shrinkToFit="1"/>
    </xf>
    <xf numFmtId="168" fontId="16" fillId="0" borderId="32" xfId="0" applyNumberFormat="1" applyFont="1" applyFill="1" applyBorder="1" applyAlignment="1" applyProtection="1">
      <alignment horizontal="right" vertical="center" shrinkToFit="1"/>
    </xf>
    <xf numFmtId="168" fontId="16" fillId="0" borderId="33" xfId="0" applyNumberFormat="1" applyFont="1" applyFill="1" applyBorder="1" applyAlignment="1" applyProtection="1">
      <alignment horizontal="right" vertical="center" shrinkToFit="1"/>
    </xf>
    <xf numFmtId="168" fontId="16" fillId="0" borderId="48" xfId="0" applyNumberFormat="1" applyFont="1" applyFill="1" applyBorder="1" applyAlignment="1" applyProtection="1">
      <alignment horizontal="right" vertical="center" shrinkToFit="1"/>
    </xf>
    <xf numFmtId="168" fontId="16" fillId="0" borderId="47" xfId="0" applyNumberFormat="1" applyFont="1" applyFill="1" applyBorder="1" applyAlignment="1" applyProtection="1">
      <alignment horizontal="right" vertical="center" shrinkToFit="1"/>
    </xf>
    <xf numFmtId="168" fontId="17" fillId="0" borderId="76" xfId="0" applyNumberFormat="1" applyFont="1" applyFill="1" applyBorder="1" applyAlignment="1" applyProtection="1">
      <alignment horizontal="right" vertical="center" shrinkToFit="1"/>
    </xf>
    <xf numFmtId="168" fontId="16" fillId="0" borderId="68" xfId="0" applyNumberFormat="1" applyFont="1" applyFill="1" applyBorder="1" applyAlignment="1" applyProtection="1">
      <alignment horizontal="center" vertical="center" shrinkToFit="1"/>
    </xf>
    <xf numFmtId="168" fontId="16" fillId="0" borderId="21" xfId="0" applyNumberFormat="1" applyFont="1" applyFill="1" applyBorder="1" applyAlignment="1" applyProtection="1">
      <alignment horizontal="right" vertical="center" shrinkToFit="1"/>
    </xf>
    <xf numFmtId="168" fontId="16" fillId="0" borderId="22" xfId="0" applyNumberFormat="1" applyFont="1" applyFill="1" applyBorder="1" applyAlignment="1" applyProtection="1">
      <alignment horizontal="right" vertical="center" shrinkToFit="1"/>
    </xf>
    <xf numFmtId="168" fontId="16" fillId="0" borderId="23" xfId="0" applyNumberFormat="1" applyFont="1" applyFill="1" applyBorder="1" applyAlignment="1" applyProtection="1">
      <alignment horizontal="right" vertical="center" shrinkToFit="1"/>
    </xf>
    <xf numFmtId="168" fontId="16" fillId="0" borderId="40" xfId="0" applyNumberFormat="1" applyFont="1" applyFill="1" applyBorder="1" applyAlignment="1" applyProtection="1">
      <alignment horizontal="right" vertical="center" shrinkToFit="1"/>
    </xf>
    <xf numFmtId="168" fontId="17" fillId="0" borderId="27" xfId="0" applyNumberFormat="1" applyFont="1" applyFill="1" applyBorder="1" applyAlignment="1" applyProtection="1">
      <alignment horizontal="right" vertical="center" shrinkToFit="1"/>
    </xf>
    <xf numFmtId="168" fontId="16" fillId="0" borderId="69" xfId="0" applyNumberFormat="1" applyFont="1" applyFill="1" applyBorder="1" applyAlignment="1" applyProtection="1">
      <alignment horizontal="center" vertical="center" shrinkToFit="1"/>
    </xf>
    <xf numFmtId="168" fontId="16" fillId="0" borderId="29" xfId="0" applyNumberFormat="1" applyFont="1" applyFill="1" applyBorder="1" applyAlignment="1" applyProtection="1">
      <alignment horizontal="right" vertical="center" shrinkToFit="1"/>
    </xf>
    <xf numFmtId="168" fontId="16" fillId="0" borderId="30" xfId="0" applyNumberFormat="1" applyFont="1" applyFill="1" applyBorder="1" applyAlignment="1" applyProtection="1">
      <alignment horizontal="right" vertical="center" shrinkToFit="1"/>
    </xf>
    <xf numFmtId="168" fontId="16" fillId="0" borderId="46" xfId="0" applyNumberFormat="1" applyFont="1" applyFill="1" applyBorder="1" applyAlignment="1" applyProtection="1">
      <alignment horizontal="right" vertical="center" shrinkToFit="1"/>
    </xf>
    <xf numFmtId="168" fontId="16" fillId="0" borderId="45" xfId="0" applyNumberFormat="1" applyFont="1" applyFill="1" applyBorder="1" applyAlignment="1" applyProtection="1">
      <alignment horizontal="right" vertical="center" shrinkToFit="1"/>
    </xf>
    <xf numFmtId="168" fontId="17" fillId="0" borderId="31" xfId="0" applyNumberFormat="1" applyFont="1" applyFill="1" applyBorder="1" applyAlignment="1" applyProtection="1">
      <alignment horizontal="right" vertical="center" shrinkToFit="1"/>
    </xf>
    <xf numFmtId="168" fontId="17" fillId="0" borderId="92" xfId="0" applyNumberFormat="1" applyFont="1" applyFill="1" applyBorder="1" applyAlignment="1" applyProtection="1">
      <alignment horizontal="center" vertical="center" shrinkToFit="1"/>
    </xf>
    <xf numFmtId="168" fontId="17" fillId="0" borderId="42" xfId="0" applyNumberFormat="1" applyFont="1" applyFill="1" applyBorder="1" applyAlignment="1" applyProtection="1">
      <alignment horizontal="right" vertical="center" shrinkToFit="1"/>
    </xf>
    <xf numFmtId="168" fontId="17" fillId="0" borderId="43" xfId="0" applyNumberFormat="1" applyFont="1" applyFill="1" applyBorder="1" applyAlignment="1" applyProtection="1">
      <alignment horizontal="right" vertical="center" shrinkToFit="1"/>
    </xf>
    <xf numFmtId="168" fontId="17" fillId="0" borderId="44" xfId="0" applyNumberFormat="1" applyFont="1" applyFill="1" applyBorder="1" applyAlignment="1" applyProtection="1">
      <alignment horizontal="right" vertical="center" shrinkToFit="1"/>
    </xf>
    <xf numFmtId="168" fontId="17" fillId="0" borderId="3" xfId="0" applyNumberFormat="1" applyFont="1" applyFill="1" applyBorder="1" applyAlignment="1" applyProtection="1">
      <alignment horizontal="right" vertical="center" shrinkToFit="1"/>
    </xf>
    <xf numFmtId="168" fontId="17" fillId="0" borderId="5" xfId="0" applyNumberFormat="1" applyFont="1" applyFill="1" applyBorder="1" applyAlignment="1" applyProtection="1">
      <alignment horizontal="right" vertical="center" shrinkToFit="1"/>
    </xf>
    <xf numFmtId="4" fontId="16" fillId="0" borderId="73" xfId="0" applyNumberFormat="1" applyFont="1" applyFill="1" applyBorder="1" applyAlignment="1" applyProtection="1">
      <alignment horizontal="center" vertical="center" shrinkToFit="1"/>
    </xf>
    <xf numFmtId="4" fontId="16" fillId="0" borderId="16" xfId="0" applyNumberFormat="1" applyFont="1" applyFill="1" applyBorder="1" applyAlignment="1" applyProtection="1">
      <alignment horizontal="center" vertical="center" shrinkToFit="1"/>
    </xf>
    <xf numFmtId="4" fontId="16" fillId="0" borderId="113" xfId="0" applyNumberFormat="1" applyFont="1" applyFill="1" applyBorder="1" applyAlignment="1" applyProtection="1">
      <alignment horizontal="center" vertical="center" shrinkToFit="1"/>
    </xf>
    <xf numFmtId="4" fontId="16" fillId="14" borderId="18" xfId="0" applyNumberFormat="1" applyFont="1" applyFill="1" applyBorder="1" applyAlignment="1" applyProtection="1">
      <alignment horizontal="center" vertical="center" shrinkToFit="1"/>
    </xf>
    <xf numFmtId="4" fontId="16" fillId="14" borderId="21" xfId="0" applyNumberFormat="1" applyFont="1" applyFill="1" applyBorder="1" applyAlignment="1" applyProtection="1">
      <alignment horizontal="center" vertical="center" shrinkToFit="1"/>
    </xf>
    <xf numFmtId="4" fontId="16" fillId="0" borderId="117" xfId="0" applyNumberFormat="1" applyFont="1" applyFill="1" applyBorder="1" applyAlignment="1" applyProtection="1">
      <alignment horizontal="center" vertical="center" shrinkToFit="1"/>
    </xf>
    <xf numFmtId="4" fontId="25" fillId="0" borderId="29" xfId="0" applyNumberFormat="1" applyFont="1" applyFill="1" applyBorder="1" applyAlignment="1" applyProtection="1">
      <alignment horizontal="center" vertical="center" shrinkToFit="1"/>
    </xf>
    <xf numFmtId="0" fontId="16" fillId="0" borderId="2" xfId="0" applyNumberFormat="1" applyFont="1" applyBorder="1" applyAlignment="1">
      <alignment horizontal="center" wrapText="1"/>
    </xf>
    <xf numFmtId="0" fontId="16" fillId="0" borderId="0" xfId="0" applyFont="1" applyAlignment="1">
      <alignment horizontal="center" vertical="center"/>
    </xf>
    <xf numFmtId="4" fontId="16" fillId="14" borderId="22" xfId="0" applyNumberFormat="1" applyFont="1" applyFill="1" applyBorder="1" applyAlignment="1" applyProtection="1">
      <alignment horizontal="center" vertical="center" shrinkToFit="1"/>
    </xf>
    <xf numFmtId="4" fontId="16" fillId="14" borderId="23" xfId="0" applyNumberFormat="1" applyFont="1" applyFill="1" applyBorder="1" applyAlignment="1" applyProtection="1">
      <alignment horizontal="center" vertical="center" shrinkToFit="1"/>
    </xf>
    <xf numFmtId="4" fontId="16" fillId="14" borderId="72" xfId="0" applyNumberFormat="1" applyFont="1" applyFill="1" applyBorder="1" applyAlignment="1" applyProtection="1">
      <alignment horizontal="center" vertical="center" shrinkToFit="1"/>
    </xf>
    <xf numFmtId="0" fontId="20" fillId="0" borderId="0" xfId="0" applyNumberFormat="1" applyFont="1" applyFill="1" applyBorder="1" applyAlignment="1" applyProtection="1">
      <alignment horizontal="center" vertical="center"/>
    </xf>
    <xf numFmtId="0" fontId="16" fillId="0" borderId="33" xfId="0" applyNumberFormat="1" applyFont="1" applyFill="1" applyBorder="1" applyAlignment="1" applyProtection="1">
      <alignment horizontal="left" vertical="center" wrapText="1"/>
    </xf>
    <xf numFmtId="4" fontId="16" fillId="0" borderId="84" xfId="0" applyNumberFormat="1" applyFont="1" applyFill="1" applyBorder="1" applyAlignment="1" applyProtection="1">
      <alignment horizontal="center" vertical="center" shrinkToFit="1"/>
    </xf>
    <xf numFmtId="4" fontId="16" fillId="0" borderId="83" xfId="0" applyNumberFormat="1" applyFont="1" applyFill="1" applyBorder="1" applyAlignment="1" applyProtection="1">
      <alignment horizontal="center" vertical="center" shrinkToFit="1"/>
    </xf>
    <xf numFmtId="4" fontId="14" fillId="5" borderId="0" xfId="0" applyNumberFormat="1" applyFont="1" applyFill="1" applyAlignment="1">
      <alignment vertical="center" wrapText="1"/>
    </xf>
    <xf numFmtId="0" fontId="47" fillId="0" borderId="0" xfId="0" applyNumberFormat="1" applyFont="1" applyFill="1" applyBorder="1" applyAlignment="1" applyProtection="1">
      <alignment vertical="top" wrapText="1"/>
    </xf>
    <xf numFmtId="4" fontId="16" fillId="0" borderId="10" xfId="0" applyNumberFormat="1" applyFont="1" applyFill="1" applyBorder="1" applyAlignment="1" applyProtection="1">
      <alignment horizontal="center" vertical="center" wrapText="1"/>
    </xf>
    <xf numFmtId="0" fontId="16" fillId="0" borderId="1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xf>
    <xf numFmtId="4" fontId="18"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center" vertical="center"/>
    </xf>
    <xf numFmtId="0" fontId="61" fillId="0" borderId="10" xfId="0" applyNumberFormat="1" applyFont="1" applyFill="1" applyBorder="1" applyAlignment="1" applyProtection="1">
      <alignment horizontal="center" vertical="center" wrapText="1"/>
    </xf>
    <xf numFmtId="0" fontId="61" fillId="0" borderId="0" xfId="0" applyNumberFormat="1" applyFont="1" applyFill="1" applyBorder="1" applyAlignment="1" applyProtection="1">
      <alignment horizontal="center" vertical="center" wrapText="1"/>
    </xf>
    <xf numFmtId="4" fontId="16" fillId="0" borderId="0" xfId="0" applyNumberFormat="1" applyFont="1" applyFill="1" applyBorder="1" applyAlignment="1" applyProtection="1">
      <alignment horizontal="center" vertical="center"/>
    </xf>
    <xf numFmtId="4" fontId="16" fillId="0" borderId="156" xfId="0" applyNumberFormat="1" applyFont="1" applyFill="1" applyBorder="1" applyAlignment="1" applyProtection="1">
      <alignment horizontal="center" vertical="center" shrinkToFit="1"/>
    </xf>
    <xf numFmtId="4" fontId="16" fillId="0" borderId="154" xfId="0" applyNumberFormat="1" applyFont="1" applyFill="1" applyBorder="1" applyAlignment="1" applyProtection="1">
      <alignment horizontal="center" vertical="center" shrinkToFit="1"/>
    </xf>
    <xf numFmtId="4" fontId="16" fillId="0" borderId="155" xfId="0" applyNumberFormat="1" applyFont="1" applyFill="1" applyBorder="1" applyAlignment="1" applyProtection="1">
      <alignment horizontal="center" vertical="center" shrinkToFit="1"/>
    </xf>
    <xf numFmtId="4" fontId="16" fillId="0" borderId="157" xfId="0" applyNumberFormat="1" applyFont="1" applyFill="1" applyBorder="1" applyAlignment="1" applyProtection="1">
      <alignment horizontal="center" vertical="center" shrinkToFit="1"/>
    </xf>
    <xf numFmtId="0" fontId="20" fillId="0" borderId="10" xfId="0" applyNumberFormat="1" applyFont="1" applyFill="1" applyBorder="1" applyAlignment="1" applyProtection="1">
      <alignment horizontal="left" vertical="center"/>
    </xf>
    <xf numFmtId="0" fontId="14" fillId="0" borderId="10" xfId="0" applyNumberFormat="1" applyFont="1" applyFill="1" applyBorder="1" applyAlignment="1" applyProtection="1">
      <alignment vertical="center"/>
    </xf>
    <xf numFmtId="0" fontId="31" fillId="16" borderId="53" xfId="1" applyNumberFormat="1" applyFont="1" applyFill="1" applyBorder="1" applyAlignment="1">
      <alignment horizontal="left" vertical="center"/>
    </xf>
    <xf numFmtId="0" fontId="31" fillId="0" borderId="53" xfId="1" applyNumberFormat="1" applyFont="1" applyBorder="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24" fillId="16" borderId="0" xfId="1" applyNumberFormat="1" applyFont="1" applyFill="1" applyBorder="1" applyAlignment="1">
      <alignment horizontal="center" vertical="center"/>
    </xf>
    <xf numFmtId="0" fontId="24" fillId="0" borderId="0" xfId="1" applyNumberFormat="1" applyFont="1" applyBorder="1" applyAlignment="1">
      <alignment horizontal="center" vertical="center"/>
    </xf>
    <xf numFmtId="4" fontId="16" fillId="14" borderId="149" xfId="0" applyNumberFormat="1" applyFont="1" applyFill="1" applyBorder="1" applyAlignment="1" applyProtection="1">
      <alignment horizontal="center" vertical="center" shrinkToFit="1"/>
    </xf>
    <xf numFmtId="4" fontId="16" fillId="14" borderId="83" xfId="0" applyNumberFormat="1" applyFont="1" applyFill="1" applyBorder="1" applyAlignment="1" applyProtection="1">
      <alignment horizontal="center" vertical="center" shrinkToFit="1"/>
    </xf>
    <xf numFmtId="4" fontId="16" fillId="14" borderId="156" xfId="0" applyNumberFormat="1" applyFont="1" applyFill="1" applyBorder="1" applyAlignment="1" applyProtection="1">
      <alignment horizontal="center" vertical="center" shrinkToFit="1"/>
    </xf>
    <xf numFmtId="4" fontId="16" fillId="14" borderId="154" xfId="0" applyNumberFormat="1" applyFont="1" applyFill="1" applyBorder="1" applyAlignment="1" applyProtection="1">
      <alignment horizontal="center" vertical="center" shrinkToFit="1"/>
    </xf>
    <xf numFmtId="4" fontId="16" fillId="14" borderId="157" xfId="0" applyNumberFormat="1" applyFont="1" applyFill="1" applyBorder="1" applyAlignment="1" applyProtection="1">
      <alignment horizontal="center" vertical="center" shrinkToFit="1"/>
    </xf>
    <xf numFmtId="4" fontId="16" fillId="14" borderId="155" xfId="0" applyNumberFormat="1" applyFont="1" applyFill="1" applyBorder="1" applyAlignment="1" applyProtection="1">
      <alignment horizontal="center" vertical="center" shrinkToFit="1"/>
    </xf>
    <xf numFmtId="0" fontId="14" fillId="0" borderId="0" xfId="0" applyNumberFormat="1" applyFont="1" applyFill="1" applyBorder="1" applyAlignment="1" applyProtection="1">
      <alignment horizontal="center"/>
    </xf>
    <xf numFmtId="0" fontId="19" fillId="0" borderId="0" xfId="0" applyFont="1" applyAlignment="1">
      <alignment horizontal="center" vertical="center"/>
    </xf>
    <xf numFmtId="0" fontId="16" fillId="0" borderId="30" xfId="0" applyNumberFormat="1" applyFont="1" applyFill="1" applyBorder="1" applyAlignment="1" applyProtection="1">
      <alignment horizontal="left" vertical="center"/>
    </xf>
    <xf numFmtId="0" fontId="16" fillId="0" borderId="158" xfId="0" applyNumberFormat="1" applyFont="1" applyFill="1" applyBorder="1" applyAlignment="1" applyProtection="1">
      <alignment horizontal="right" vertical="center"/>
    </xf>
    <xf numFmtId="0" fontId="16" fillId="0" borderId="159" xfId="0" applyNumberFormat="1" applyFont="1" applyFill="1" applyBorder="1" applyAlignment="1" applyProtection="1">
      <alignment horizontal="center" vertical="center"/>
    </xf>
    <xf numFmtId="0" fontId="17" fillId="0" borderId="159" xfId="0" applyNumberFormat="1" applyFont="1" applyFill="1" applyBorder="1" applyAlignment="1" applyProtection="1">
      <alignment horizontal="right" vertical="center"/>
    </xf>
    <xf numFmtId="0" fontId="50" fillId="0" borderId="0" xfId="0" applyNumberFormat="1" applyFont="1" applyFill="1" applyBorder="1" applyAlignment="1" applyProtection="1">
      <alignment horizontal="center" vertical="center"/>
    </xf>
    <xf numFmtId="0" fontId="43" fillId="8" borderId="0" xfId="0" applyFont="1" applyFill="1" applyAlignment="1">
      <alignment horizontal="center"/>
    </xf>
    <xf numFmtId="0" fontId="0" fillId="8" borderId="0" xfId="0" applyFill="1" applyAlignment="1">
      <alignment horizontal="center"/>
    </xf>
    <xf numFmtId="0" fontId="17" fillId="8" borderId="0" xfId="0" applyNumberFormat="1" applyFont="1" applyFill="1" applyBorder="1" applyAlignment="1" applyProtection="1">
      <alignment horizontal="center"/>
    </xf>
    <xf numFmtId="0" fontId="20" fillId="8" borderId="0" xfId="0" applyNumberFormat="1" applyFont="1" applyFill="1" applyBorder="1" applyAlignment="1" applyProtection="1">
      <alignment horizontal="center"/>
    </xf>
    <xf numFmtId="0" fontId="14" fillId="8" borderId="0" xfId="0" applyNumberFormat="1" applyFont="1" applyFill="1" applyBorder="1" applyAlignment="1" applyProtection="1">
      <alignment horizontal="center"/>
    </xf>
    <xf numFmtId="0" fontId="50" fillId="8" borderId="0" xfId="0" applyNumberFormat="1" applyFont="1" applyFill="1" applyBorder="1" applyAlignment="1" applyProtection="1">
      <alignment horizontal="center"/>
    </xf>
    <xf numFmtId="0" fontId="50" fillId="0" borderId="0" xfId="0" applyNumberFormat="1" applyFont="1" applyFill="1" applyBorder="1" applyAlignment="1" applyProtection="1">
      <alignment horizontal="center"/>
    </xf>
    <xf numFmtId="0" fontId="50" fillId="0" borderId="0" xfId="0" applyNumberFormat="1" applyFont="1" applyFill="1" applyBorder="1" applyAlignment="1" applyProtection="1">
      <alignment horizontal="left"/>
    </xf>
    <xf numFmtId="0" fontId="62" fillId="8" borderId="0" xfId="0" applyNumberFormat="1" applyFont="1" applyFill="1" applyBorder="1" applyAlignment="1" applyProtection="1">
      <alignment vertical="center"/>
    </xf>
    <xf numFmtId="4" fontId="17" fillId="0" borderId="52" xfId="0" applyNumberFormat="1" applyFont="1" applyFill="1" applyBorder="1" applyAlignment="1" applyProtection="1">
      <alignment horizontal="center" vertical="center" wrapText="1" shrinkToFit="1"/>
    </xf>
    <xf numFmtId="4" fontId="17" fillId="0" borderId="44" xfId="0" applyNumberFormat="1" applyFont="1" applyFill="1" applyBorder="1" applyAlignment="1" applyProtection="1">
      <alignment horizontal="center" vertical="center" wrapText="1" shrinkToFit="1"/>
    </xf>
    <xf numFmtId="4" fontId="38" fillId="0" borderId="22" xfId="0" applyNumberFormat="1" applyFont="1" applyBorder="1" applyAlignment="1">
      <alignment horizontal="right" vertical="center" wrapText="1" shrinkToFit="1"/>
    </xf>
    <xf numFmtId="0" fontId="24" fillId="0" borderId="22" xfId="1" applyFont="1" applyFill="1" applyBorder="1" applyAlignment="1">
      <alignment horizontal="center" vertical="center"/>
    </xf>
    <xf numFmtId="0" fontId="24" fillId="0" borderId="30" xfId="1" applyFont="1" applyFill="1" applyBorder="1" applyAlignment="1">
      <alignment horizontal="center" vertical="center"/>
    </xf>
    <xf numFmtId="4" fontId="16" fillId="0" borderId="0" xfId="2" applyNumberFormat="1" applyFont="1" applyFill="1" applyBorder="1" applyAlignment="1">
      <alignment wrapText="1"/>
    </xf>
    <xf numFmtId="0" fontId="31" fillId="0" borderId="0" xfId="1" applyFont="1" applyFill="1" applyBorder="1" applyAlignment="1">
      <alignment horizontal="left" indent="1"/>
    </xf>
    <xf numFmtId="0" fontId="18" fillId="0" borderId="0" xfId="1" applyFont="1" applyFill="1" applyBorder="1" applyAlignment="1">
      <alignment horizontal="center"/>
    </xf>
    <xf numFmtId="0" fontId="31" fillId="0" borderId="0" xfId="1" applyFont="1" applyBorder="1"/>
    <xf numFmtId="4" fontId="31" fillId="0" borderId="0" xfId="1" applyNumberFormat="1" applyFont="1"/>
    <xf numFmtId="0" fontId="31" fillId="0" borderId="0" xfId="1" applyFont="1" applyFill="1"/>
    <xf numFmtId="0" fontId="31" fillId="0" borderId="0" xfId="1" applyFont="1" applyAlignment="1">
      <alignment horizontal="center" vertical="center"/>
    </xf>
    <xf numFmtId="0" fontId="25" fillId="0" borderId="0" xfId="1" applyFont="1" applyBorder="1" applyAlignment="1">
      <alignment vertical="center"/>
    </xf>
    <xf numFmtId="0" fontId="31" fillId="0" borderId="0" xfId="1" applyFont="1" applyBorder="1" applyAlignment="1">
      <alignment vertical="center"/>
    </xf>
    <xf numFmtId="4" fontId="16" fillId="0" borderId="0" xfId="2" applyNumberFormat="1" applyFont="1" applyFill="1" applyBorder="1" applyAlignment="1">
      <alignment vertical="center" wrapText="1"/>
    </xf>
    <xf numFmtId="0" fontId="31" fillId="0" borderId="0" xfId="1" applyFont="1" applyFill="1" applyBorder="1" applyAlignment="1">
      <alignment horizontal="left" vertical="center" indent="1"/>
    </xf>
    <xf numFmtId="0" fontId="24" fillId="0" borderId="0" xfId="1" applyFont="1" applyFill="1" applyBorder="1" applyAlignment="1">
      <alignment horizontal="left" vertical="center" indent="1"/>
    </xf>
    <xf numFmtId="0" fontId="20" fillId="0" borderId="0" xfId="0" applyFont="1" applyFill="1" applyAlignment="1">
      <alignment horizontal="center" vertical="center"/>
    </xf>
    <xf numFmtId="14" fontId="24" fillId="0" borderId="0" xfId="1" applyNumberFormat="1" applyFont="1" applyFill="1" applyBorder="1" applyAlignment="1">
      <alignment horizontal="left" vertical="center" indent="1"/>
    </xf>
    <xf numFmtId="14" fontId="52" fillId="0" borderId="0" xfId="1" applyNumberFormat="1" applyFont="1" applyFill="1" applyBorder="1" applyAlignment="1">
      <alignment horizontal="center" vertical="center" wrapText="1"/>
    </xf>
    <xf numFmtId="0" fontId="24" fillId="0" borderId="0" xfId="1" applyFont="1" applyAlignment="1">
      <alignment horizontal="left" vertical="center" indent="4"/>
    </xf>
    <xf numFmtId="0" fontId="24" fillId="0" borderId="0" xfId="1" applyFont="1" applyAlignment="1">
      <alignment horizontal="left" vertical="center" indent="1"/>
    </xf>
    <xf numFmtId="0" fontId="24" fillId="0" borderId="0" xfId="1" applyFont="1" applyBorder="1" applyAlignment="1">
      <alignment horizontal="center" vertical="center" wrapText="1"/>
    </xf>
    <xf numFmtId="4" fontId="24" fillId="0" borderId="22" xfId="1" applyNumberFormat="1" applyFont="1" applyFill="1" applyBorder="1" applyAlignment="1">
      <alignment vertical="center" shrinkToFit="1"/>
    </xf>
    <xf numFmtId="4" fontId="24" fillId="0" borderId="25" xfId="1" applyNumberFormat="1" applyFont="1" applyFill="1" applyBorder="1" applyAlignment="1">
      <alignment vertical="center" shrinkToFit="1"/>
    </xf>
    <xf numFmtId="4" fontId="24" fillId="0" borderId="26" xfId="1" applyNumberFormat="1" applyFont="1" applyBorder="1" applyAlignment="1">
      <alignment horizontal="center" vertical="center"/>
    </xf>
    <xf numFmtId="4" fontId="24" fillId="0" borderId="22" xfId="1" applyNumberFormat="1" applyFont="1" applyFill="1" applyBorder="1" applyAlignment="1">
      <alignment horizontal="right" vertical="center" shrinkToFit="1"/>
    </xf>
    <xf numFmtId="4" fontId="24" fillId="0" borderId="25" xfId="1" applyNumberFormat="1" applyFont="1" applyFill="1" applyBorder="1" applyAlignment="1">
      <alignment horizontal="right" vertical="center" shrinkToFit="1"/>
    </xf>
    <xf numFmtId="4" fontId="24" fillId="0" borderId="33" xfId="1" applyNumberFormat="1" applyFont="1" applyBorder="1" applyAlignment="1">
      <alignment horizontal="center" vertical="center" wrapText="1"/>
    </xf>
    <xf numFmtId="0" fontId="24" fillId="4" borderId="26" xfId="1" applyFont="1" applyFill="1" applyBorder="1" applyAlignment="1">
      <alignment horizontal="center" vertical="center"/>
    </xf>
    <xf numFmtId="4" fontId="25" fillId="0" borderId="33" xfId="1" applyNumberFormat="1" applyFont="1" applyFill="1" applyBorder="1" applyAlignment="1">
      <alignment horizontal="center" vertical="center"/>
    </xf>
    <xf numFmtId="0" fontId="25" fillId="4" borderId="26" xfId="1" applyFont="1" applyFill="1" applyBorder="1" applyAlignment="1">
      <alignment horizontal="center" vertical="center" wrapText="1"/>
    </xf>
    <xf numFmtId="4" fontId="24" fillId="0" borderId="0" xfId="1" applyNumberFormat="1" applyFont="1" applyBorder="1" applyAlignment="1">
      <alignment horizontal="center" vertical="center"/>
    </xf>
    <xf numFmtId="0" fontId="24" fillId="0" borderId="0" xfId="1" applyFont="1" applyBorder="1" applyAlignment="1">
      <alignment horizontal="left" vertical="center" indent="1" shrinkToFit="1"/>
    </xf>
    <xf numFmtId="4" fontId="24" fillId="0" borderId="0" xfId="1" applyNumberFormat="1" applyFont="1" applyFill="1" applyBorder="1" applyAlignment="1">
      <alignment horizontal="right" vertical="center" shrinkToFit="1"/>
    </xf>
    <xf numFmtId="4" fontId="24" fillId="0" borderId="0" xfId="1" applyNumberFormat="1" applyFont="1" applyFill="1" applyBorder="1" applyAlignment="1">
      <alignment vertical="center" shrinkToFit="1"/>
    </xf>
    <xf numFmtId="4" fontId="24" fillId="0" borderId="0" xfId="1" applyNumberFormat="1" applyFont="1" applyBorder="1" applyAlignment="1">
      <alignment horizontal="center" vertical="center" wrapText="1"/>
    </xf>
    <xf numFmtId="4" fontId="25" fillId="0" borderId="30" xfId="1" applyNumberFormat="1" applyFont="1" applyFill="1" applyBorder="1" applyAlignment="1">
      <alignment horizontal="center" vertical="center"/>
    </xf>
    <xf numFmtId="3" fontId="24" fillId="8" borderId="33" xfId="1" applyNumberFormat="1" applyFont="1" applyFill="1" applyBorder="1" applyAlignment="1">
      <alignment horizontal="center" vertical="top"/>
    </xf>
    <xf numFmtId="0" fontId="18" fillId="8" borderId="72" xfId="1" applyFont="1" applyFill="1" applyBorder="1" applyAlignment="1">
      <alignment horizontal="center" vertical="top"/>
    </xf>
    <xf numFmtId="3" fontId="24" fillId="8" borderId="22" xfId="1" applyNumberFormat="1" applyFont="1" applyFill="1" applyBorder="1" applyAlignment="1">
      <alignment horizontal="center" vertical="top"/>
    </xf>
    <xf numFmtId="4" fontId="24" fillId="8" borderId="88" xfId="1" applyNumberFormat="1" applyFont="1" applyFill="1" applyBorder="1" applyAlignment="1">
      <alignment horizontal="center" vertical="top"/>
    </xf>
    <xf numFmtId="4" fontId="24" fillId="8" borderId="83" xfId="1" applyNumberFormat="1" applyFont="1" applyFill="1" applyBorder="1" applyAlignment="1">
      <alignment horizontal="center" vertical="top"/>
    </xf>
    <xf numFmtId="3" fontId="24" fillId="17" borderId="33" xfId="1" applyNumberFormat="1" applyFont="1" applyFill="1" applyBorder="1" applyAlignment="1">
      <alignment horizontal="center" vertical="top"/>
    </xf>
    <xf numFmtId="0" fontId="18" fillId="17" borderId="75" xfId="1" applyFont="1" applyFill="1" applyBorder="1" applyAlignment="1">
      <alignment horizontal="center" vertical="top"/>
    </xf>
    <xf numFmtId="0" fontId="24" fillId="17" borderId="33" xfId="1" applyFont="1" applyFill="1" applyBorder="1" applyAlignment="1">
      <alignment horizontal="center" vertical="top"/>
    </xf>
    <xf numFmtId="4" fontId="24" fillId="17" borderId="88" xfId="1" applyNumberFormat="1" applyFont="1" applyFill="1" applyBorder="1" applyAlignment="1">
      <alignment horizontal="center" vertical="top"/>
    </xf>
    <xf numFmtId="0" fontId="31" fillId="0" borderId="30" xfId="1" applyFont="1" applyFill="1" applyBorder="1" applyAlignment="1">
      <alignment horizontal="center" vertical="center"/>
    </xf>
    <xf numFmtId="169" fontId="16" fillId="0" borderId="30" xfId="2" applyNumberFormat="1" applyFont="1" applyFill="1" applyBorder="1" applyAlignment="1">
      <alignment horizontal="center" vertical="center" wrapText="1"/>
    </xf>
    <xf numFmtId="0" fontId="10" fillId="2" borderId="0" xfId="1" applyFill="1" applyAlignment="1">
      <alignment horizontal="center" vertical="center"/>
    </xf>
    <xf numFmtId="0" fontId="10" fillId="0" borderId="0" xfId="1" applyFill="1" applyAlignment="1">
      <alignment horizontal="center" vertical="center"/>
    </xf>
    <xf numFmtId="0" fontId="10" fillId="0" borderId="0" xfId="1" applyBorder="1" applyAlignment="1">
      <alignment horizontal="center" vertical="center"/>
    </xf>
    <xf numFmtId="0" fontId="10" fillId="0" borderId="0" xfId="1" applyAlignment="1">
      <alignment horizontal="center" vertical="center"/>
    </xf>
    <xf numFmtId="169" fontId="25" fillId="0" borderId="30" xfId="1" applyNumberFormat="1" applyFont="1" applyFill="1" applyBorder="1" applyAlignment="1">
      <alignment horizontal="center" vertical="center"/>
    </xf>
    <xf numFmtId="0" fontId="25" fillId="0" borderId="0" xfId="1" applyFont="1" applyAlignment="1">
      <alignment horizontal="center" vertical="center"/>
    </xf>
    <xf numFmtId="0" fontId="25" fillId="0" borderId="0" xfId="1" applyFont="1" applyBorder="1" applyAlignment="1">
      <alignment horizontal="center" vertical="center"/>
    </xf>
    <xf numFmtId="4" fontId="25" fillId="0" borderId="22" xfId="1" applyNumberFormat="1" applyFont="1" applyFill="1" applyBorder="1" applyAlignment="1">
      <alignment vertical="center" shrinkToFit="1"/>
    </xf>
    <xf numFmtId="4" fontId="25" fillId="0" borderId="30" xfId="1" applyNumberFormat="1" applyFont="1" applyFill="1" applyBorder="1" applyAlignment="1">
      <alignment vertical="center" shrinkToFit="1"/>
    </xf>
    <xf numFmtId="0" fontId="4" fillId="0" borderId="0" xfId="1" applyFont="1"/>
    <xf numFmtId="0" fontId="31" fillId="0" borderId="22" xfId="1" applyFont="1" applyFill="1" applyBorder="1" applyAlignment="1">
      <alignment horizontal="center" vertical="center"/>
    </xf>
    <xf numFmtId="0" fontId="18" fillId="0" borderId="22" xfId="1" applyFont="1" applyFill="1" applyBorder="1" applyAlignment="1">
      <alignment horizontal="center"/>
    </xf>
    <xf numFmtId="0" fontId="24" fillId="0" borderId="22" xfId="1" applyFont="1" applyFill="1" applyBorder="1" applyAlignment="1">
      <alignment horizontal="right" indent="1"/>
    </xf>
    <xf numFmtId="4" fontId="16" fillId="0" borderId="22" xfId="2" applyNumberFormat="1" applyFont="1" applyFill="1" applyBorder="1" applyAlignment="1">
      <alignment vertical="center" shrinkToFit="1"/>
    </xf>
    <xf numFmtId="169" fontId="16" fillId="0" borderId="22" xfId="2" applyNumberFormat="1" applyFont="1" applyFill="1" applyBorder="1" applyAlignment="1">
      <alignment horizontal="center" vertical="center" wrapText="1"/>
    </xf>
    <xf numFmtId="0" fontId="18" fillId="0" borderId="30" xfId="1" applyFont="1" applyFill="1" applyBorder="1" applyAlignment="1">
      <alignment horizontal="center"/>
    </xf>
    <xf numFmtId="169" fontId="25" fillId="0" borderId="22" xfId="1" applyNumberFormat="1" applyFont="1" applyFill="1" applyBorder="1" applyAlignment="1">
      <alignment horizontal="center" vertical="center"/>
    </xf>
    <xf numFmtId="169" fontId="16" fillId="0" borderId="22" xfId="15" applyNumberFormat="1" applyFont="1" applyFill="1" applyBorder="1" applyAlignment="1">
      <alignment vertical="center" shrinkToFit="1"/>
    </xf>
    <xf numFmtId="169" fontId="16" fillId="0" borderId="33" xfId="15" applyNumberFormat="1" applyFont="1" applyFill="1" applyBorder="1" applyAlignment="1">
      <alignment vertical="center" shrinkToFit="1"/>
    </xf>
    <xf numFmtId="169" fontId="16" fillId="0" borderId="30" xfId="15" applyNumberFormat="1" applyFont="1" applyFill="1" applyBorder="1" applyAlignment="1">
      <alignment vertical="center" shrinkToFit="1"/>
    </xf>
    <xf numFmtId="3" fontId="24" fillId="8" borderId="33" xfId="16" applyNumberFormat="1" applyFont="1" applyFill="1" applyBorder="1" applyAlignment="1">
      <alignment horizontal="center" vertical="top"/>
    </xf>
    <xf numFmtId="0" fontId="41" fillId="8" borderId="0" xfId="1" applyFont="1" applyFill="1" applyBorder="1" applyAlignment="1">
      <alignment vertical="center"/>
    </xf>
    <xf numFmtId="0" fontId="25" fillId="8" borderId="0" xfId="1" applyFont="1" applyFill="1" applyAlignment="1">
      <alignment horizontal="center" vertical="center"/>
    </xf>
    <xf numFmtId="4" fontId="16" fillId="0" borderId="30" xfId="2" applyNumberFormat="1" applyFont="1" applyFill="1" applyBorder="1" applyAlignment="1">
      <alignment vertical="center" shrinkToFit="1"/>
    </xf>
    <xf numFmtId="0" fontId="25" fillId="8" borderId="0" xfId="1" applyFont="1" applyFill="1" applyAlignment="1">
      <alignment horizontal="center" vertical="center" wrapText="1"/>
    </xf>
    <xf numFmtId="4" fontId="25" fillId="0" borderId="22" xfId="16" applyNumberFormat="1" applyFont="1" applyFill="1" applyBorder="1" applyAlignment="1">
      <alignment vertical="center"/>
    </xf>
    <xf numFmtId="4" fontId="25" fillId="0" borderId="33" xfId="16" applyNumberFormat="1" applyFont="1" applyFill="1" applyBorder="1" applyAlignment="1">
      <alignment vertical="center"/>
    </xf>
    <xf numFmtId="4" fontId="25" fillId="0" borderId="30" xfId="16" applyNumberFormat="1" applyFont="1" applyFill="1" applyBorder="1" applyAlignment="1">
      <alignment vertical="center"/>
    </xf>
    <xf numFmtId="3" fontId="24" fillId="17" borderId="33" xfId="16" applyNumberFormat="1" applyFont="1" applyFill="1" applyBorder="1" applyAlignment="1">
      <alignment horizontal="center" vertical="top"/>
    </xf>
    <xf numFmtId="0" fontId="31" fillId="0" borderId="22" xfId="1" applyFont="1" applyFill="1" applyBorder="1" applyAlignment="1">
      <alignment vertical="center" shrinkToFit="1"/>
    </xf>
    <xf numFmtId="0" fontId="31" fillId="0" borderId="33" xfId="1" applyFont="1" applyFill="1" applyBorder="1" applyAlignment="1">
      <alignment vertical="center" shrinkToFit="1"/>
    </xf>
    <xf numFmtId="0" fontId="31" fillId="0" borderId="30" xfId="1" applyFont="1" applyFill="1" applyBorder="1" applyAlignment="1">
      <alignment vertical="center" shrinkToFit="1"/>
    </xf>
    <xf numFmtId="4" fontId="24" fillId="0" borderId="48" xfId="1" applyNumberFormat="1" applyFont="1" applyBorder="1" applyAlignment="1">
      <alignment horizontal="center" vertical="center"/>
    </xf>
    <xf numFmtId="4" fontId="24" fillId="0" borderId="23" xfId="1" applyNumberFormat="1" applyFont="1" applyBorder="1" applyAlignment="1">
      <alignment horizontal="center" vertical="center"/>
    </xf>
    <xf numFmtId="169" fontId="31" fillId="0" borderId="72" xfId="1" applyNumberFormat="1" applyFont="1" applyFill="1" applyBorder="1"/>
    <xf numFmtId="169" fontId="31" fillId="0" borderId="22" xfId="1" applyNumberFormat="1" applyFont="1" applyFill="1" applyBorder="1"/>
    <xf numFmtId="169" fontId="31" fillId="0" borderId="71" xfId="1" applyNumberFormat="1" applyFont="1" applyFill="1" applyBorder="1"/>
    <xf numFmtId="169" fontId="31" fillId="0" borderId="30" xfId="1" applyNumberFormat="1" applyFont="1" applyFill="1" applyBorder="1"/>
    <xf numFmtId="3" fontId="24" fillId="0" borderId="16" xfId="1" applyNumberFormat="1" applyFont="1" applyFill="1" applyBorder="1" applyAlignment="1">
      <alignment horizontal="center" vertical="center"/>
    </xf>
    <xf numFmtId="3" fontId="24" fillId="0" borderId="95" xfId="1" applyNumberFormat="1" applyFont="1" applyFill="1" applyBorder="1" applyAlignment="1">
      <alignment horizontal="center" vertical="center"/>
    </xf>
    <xf numFmtId="0" fontId="24" fillId="2" borderId="37" xfId="1" applyFont="1" applyFill="1" applyBorder="1" applyAlignment="1">
      <alignment horizontal="center" vertical="center"/>
    </xf>
    <xf numFmtId="4" fontId="66" fillId="0" borderId="22" xfId="16" applyNumberFormat="1" applyFont="1" applyFill="1" applyBorder="1" applyAlignment="1">
      <alignment vertical="center"/>
    </xf>
    <xf numFmtId="4" fontId="66" fillId="0" borderId="22" xfId="16" applyNumberFormat="1" applyFont="1" applyFill="1" applyBorder="1" applyAlignment="1">
      <alignment horizontal="center" vertical="center"/>
    </xf>
    <xf numFmtId="0" fontId="20" fillId="0" borderId="0" xfId="1" applyFont="1" applyFill="1" applyBorder="1" applyAlignment="1">
      <alignment horizontal="right" indent="1"/>
    </xf>
    <xf numFmtId="0" fontId="68" fillId="0" borderId="0" xfId="1" applyFont="1" applyBorder="1"/>
    <xf numFmtId="0" fontId="49" fillId="4" borderId="161" xfId="1" quotePrefix="1" applyNumberFormat="1" applyFont="1" applyFill="1" applyBorder="1" applyAlignment="1">
      <alignment horizontal="right" indent="1"/>
    </xf>
    <xf numFmtId="0" fontId="46" fillId="4" borderId="168" xfId="1" applyFont="1" applyFill="1" applyBorder="1" applyAlignment="1">
      <alignment horizontal="right" indent="1"/>
    </xf>
    <xf numFmtId="0" fontId="46" fillId="4" borderId="38" xfId="1" applyFont="1" applyFill="1" applyBorder="1"/>
    <xf numFmtId="0" fontId="46" fillId="4" borderId="27" xfId="1" applyFont="1" applyFill="1" applyBorder="1" applyAlignment="1">
      <alignment horizontal="right" indent="1"/>
    </xf>
    <xf numFmtId="0" fontId="46" fillId="4" borderId="36" xfId="1" applyFont="1" applyFill="1" applyBorder="1"/>
    <xf numFmtId="0" fontId="46" fillId="4" borderId="31" xfId="1" applyFont="1" applyFill="1" applyBorder="1" applyAlignment="1">
      <alignment horizontal="right" indent="1"/>
    </xf>
    <xf numFmtId="0" fontId="49" fillId="4" borderId="161" xfId="1" applyFont="1" applyFill="1" applyBorder="1" applyAlignment="1">
      <alignment horizontal="right" indent="1"/>
    </xf>
    <xf numFmtId="0" fontId="20" fillId="2" borderId="159" xfId="0" applyFont="1" applyFill="1" applyBorder="1" applyAlignment="1">
      <alignment horizontal="center" vertical="center"/>
    </xf>
    <xf numFmtId="0" fontId="20" fillId="2" borderId="160" xfId="0" applyFont="1" applyFill="1" applyBorder="1" applyAlignment="1">
      <alignment horizontal="center" vertical="center"/>
    </xf>
    <xf numFmtId="0" fontId="10" fillId="2" borderId="123" xfId="1" applyFill="1" applyBorder="1"/>
    <xf numFmtId="0" fontId="63" fillId="2" borderId="94" xfId="1" applyFont="1" applyFill="1" applyBorder="1" applyAlignment="1">
      <alignment horizontal="center" vertical="center"/>
    </xf>
    <xf numFmtId="0" fontId="63" fillId="2" borderId="16" xfId="1" applyFont="1" applyFill="1" applyBorder="1" applyAlignment="1">
      <alignment horizontal="center" vertical="center"/>
    </xf>
    <xf numFmtId="0" fontId="63" fillId="2" borderId="95" xfId="1" applyFont="1" applyFill="1" applyBorder="1" applyAlignment="1">
      <alignment horizontal="center" vertical="center"/>
    </xf>
    <xf numFmtId="0" fontId="67" fillId="2" borderId="76" xfId="1" applyNumberFormat="1" applyFont="1" applyFill="1" applyBorder="1" applyAlignment="1">
      <alignment horizontal="center" vertical="center"/>
    </xf>
    <xf numFmtId="0" fontId="67" fillId="2" borderId="27" xfId="1" applyNumberFormat="1" applyFont="1" applyFill="1" applyBorder="1" applyAlignment="1">
      <alignment horizontal="center" vertical="center"/>
    </xf>
    <xf numFmtId="0" fontId="67" fillId="2" borderId="28" xfId="1" applyNumberFormat="1" applyFont="1" applyFill="1" applyBorder="1" applyAlignment="1">
      <alignment horizontal="center" vertical="center"/>
    </xf>
    <xf numFmtId="4" fontId="24" fillId="0" borderId="0" xfId="19" applyNumberFormat="1" applyFont="1" applyAlignment="1">
      <alignment horizontal="right" indent="1" shrinkToFit="1"/>
    </xf>
    <xf numFmtId="0" fontId="24" fillId="0" borderId="0" xfId="19" applyFont="1" applyAlignment="1">
      <alignment horizontal="left" vertical="center" wrapText="1" indent="1"/>
    </xf>
    <xf numFmtId="0" fontId="26" fillId="7" borderId="0" xfId="1" applyFont="1" applyFill="1" applyBorder="1" applyAlignment="1">
      <alignment horizontal="right" indent="1"/>
    </xf>
    <xf numFmtId="4" fontId="53" fillId="7" borderId="0" xfId="0" applyNumberFormat="1" applyFont="1" applyFill="1"/>
    <xf numFmtId="0" fontId="53" fillId="7" borderId="0" xfId="0" applyFont="1" applyFill="1"/>
    <xf numFmtId="0" fontId="25" fillId="7" borderId="2" xfId="1" applyFont="1" applyFill="1" applyBorder="1" applyAlignment="1">
      <alignment horizontal="center" vertical="center"/>
    </xf>
    <xf numFmtId="0" fontId="25" fillId="7" borderId="140" xfId="1" applyFont="1" applyFill="1" applyBorder="1" applyAlignment="1">
      <alignment horizontal="right" indent="1"/>
    </xf>
    <xf numFmtId="0" fontId="25" fillId="7" borderId="139" xfId="1" applyFont="1" applyFill="1" applyBorder="1" applyAlignment="1">
      <alignment horizontal="right" indent="1"/>
    </xf>
    <xf numFmtId="0" fontId="25" fillId="7" borderId="145" xfId="1" applyFont="1" applyFill="1" applyBorder="1" applyAlignment="1">
      <alignment horizontal="right" indent="1"/>
    </xf>
    <xf numFmtId="0" fontId="25" fillId="7" borderId="0" xfId="1" applyFont="1" applyFill="1" applyBorder="1" applyAlignment="1">
      <alignment horizontal="right" indent="1"/>
    </xf>
    <xf numFmtId="0" fontId="25" fillId="7" borderId="134" xfId="1" applyFont="1" applyFill="1" applyBorder="1" applyAlignment="1">
      <alignment horizontal="left" vertical="center" indent="1"/>
    </xf>
    <xf numFmtId="0" fontId="25" fillId="7" borderId="112" xfId="1" applyFont="1" applyFill="1" applyBorder="1" applyAlignment="1">
      <alignment horizontal="left" vertical="center" indent="1"/>
    </xf>
    <xf numFmtId="0" fontId="25" fillId="7" borderId="140" xfId="1" applyFont="1" applyFill="1" applyBorder="1" applyAlignment="1">
      <alignment horizontal="left" vertical="center" indent="1"/>
    </xf>
    <xf numFmtId="0" fontId="25" fillId="7" borderId="142" xfId="1" applyFont="1" applyFill="1" applyBorder="1" applyAlignment="1">
      <alignment horizontal="left" vertical="center" indent="1"/>
    </xf>
    <xf numFmtId="0" fontId="0" fillId="7" borderId="0" xfId="0" applyFill="1"/>
    <xf numFmtId="4" fontId="24" fillId="8" borderId="0" xfId="19" applyNumberFormat="1" applyFont="1" applyFill="1" applyAlignment="1">
      <alignment horizontal="right" indent="1" shrinkToFit="1"/>
    </xf>
    <xf numFmtId="3" fontId="24" fillId="0" borderId="162" xfId="19" applyNumberFormat="1" applyFont="1" applyFill="1" applyBorder="1" applyAlignment="1">
      <alignment horizontal="left" vertical="center" wrapText="1" indent="1"/>
    </xf>
    <xf numFmtId="3" fontId="24" fillId="0" borderId="22" xfId="19" applyNumberFormat="1" applyFont="1" applyFill="1" applyBorder="1" applyAlignment="1">
      <alignment horizontal="left" vertical="center" wrapText="1" indent="1"/>
    </xf>
    <xf numFmtId="3" fontId="24" fillId="0" borderId="22" xfId="19" applyNumberFormat="1" applyFont="1" applyBorder="1" applyAlignment="1">
      <alignment horizontal="left" vertical="center" wrapText="1" indent="1"/>
    </xf>
    <xf numFmtId="0" fontId="24" fillId="0" borderId="22" xfId="19" applyFont="1" applyBorder="1" applyAlignment="1">
      <alignment horizontal="left" vertical="center" wrapText="1" indent="1"/>
    </xf>
    <xf numFmtId="4" fontId="24" fillId="0" borderId="166" xfId="19" applyNumberFormat="1" applyFont="1" applyFill="1" applyBorder="1" applyAlignment="1">
      <alignment horizontal="left" vertical="center" wrapText="1" indent="1" shrinkToFit="1"/>
    </xf>
    <xf numFmtId="4" fontId="24" fillId="0" borderId="83" xfId="19" applyNumberFormat="1" applyFont="1" applyFill="1" applyBorder="1" applyAlignment="1">
      <alignment horizontal="left" vertical="center" wrapText="1" indent="1" shrinkToFit="1"/>
    </xf>
    <xf numFmtId="4" fontId="24" fillId="0" borderId="83" xfId="19" applyNumberFormat="1" applyFont="1" applyBorder="1" applyAlignment="1">
      <alignment horizontal="left" vertical="center" wrapText="1" indent="1" shrinkToFit="1"/>
    </xf>
    <xf numFmtId="4" fontId="24" fillId="0" borderId="87" xfId="19" applyNumberFormat="1" applyFont="1" applyBorder="1" applyAlignment="1">
      <alignment horizontal="left" vertical="center" wrapText="1" indent="1" shrinkToFit="1"/>
    </xf>
    <xf numFmtId="0" fontId="26" fillId="8" borderId="15" xfId="19" applyFont="1" applyFill="1" applyBorder="1" applyAlignment="1">
      <alignment horizontal="center" vertical="center" wrapText="1"/>
    </xf>
    <xf numFmtId="0" fontId="26" fillId="8" borderId="16" xfId="19" applyFont="1" applyFill="1" applyBorder="1" applyAlignment="1">
      <alignment horizontal="center" vertical="center" wrapText="1"/>
    </xf>
    <xf numFmtId="4" fontId="26" fillId="8" borderId="17" xfId="19" applyNumberFormat="1" applyFont="1" applyFill="1" applyBorder="1" applyAlignment="1">
      <alignment horizontal="center" vertical="center" shrinkToFit="1"/>
    </xf>
    <xf numFmtId="0" fontId="18" fillId="0" borderId="72" xfId="1" applyFont="1" applyFill="1" applyBorder="1" applyAlignment="1">
      <alignment horizontal="center" vertical="center"/>
    </xf>
    <xf numFmtId="0" fontId="18" fillId="0" borderId="71" xfId="1" applyFont="1" applyFill="1" applyBorder="1" applyAlignment="1">
      <alignment horizontal="center" vertical="center"/>
    </xf>
    <xf numFmtId="0" fontId="18" fillId="0" borderId="72" xfId="16" applyFont="1" applyFill="1" applyBorder="1" applyAlignment="1">
      <alignment horizontal="center" vertical="center"/>
    </xf>
    <xf numFmtId="0" fontId="18" fillId="0" borderId="71" xfId="16" applyFont="1" applyFill="1" applyBorder="1" applyAlignment="1">
      <alignment horizontal="center" vertical="center"/>
    </xf>
    <xf numFmtId="0" fontId="14" fillId="14"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left"/>
    </xf>
    <xf numFmtId="0" fontId="14" fillId="14"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0" fontId="25" fillId="20" borderId="70" xfId="1" applyFont="1" applyFill="1" applyBorder="1" applyAlignment="1">
      <alignment horizontal="left" vertical="center" indent="1"/>
    </xf>
    <xf numFmtId="4" fontId="0" fillId="7" borderId="0" xfId="0" applyNumberFormat="1" applyFill="1"/>
    <xf numFmtId="0" fontId="14" fillId="7" borderId="146" xfId="0" applyFont="1" applyFill="1" applyBorder="1" applyAlignment="1">
      <alignment horizontal="center" vertical="center"/>
    </xf>
    <xf numFmtId="0" fontId="14" fillId="7" borderId="25" xfId="0" applyFont="1" applyFill="1" applyBorder="1" applyAlignment="1">
      <alignment horizontal="center" vertical="center"/>
    </xf>
    <xf numFmtId="4" fontId="52" fillId="2" borderId="32" xfId="1" applyNumberFormat="1" applyFont="1" applyFill="1" applyBorder="1" applyAlignment="1">
      <alignment horizontal="right" vertical="center" indent="2" shrinkToFit="1"/>
    </xf>
    <xf numFmtId="4" fontId="52" fillId="2" borderId="33" xfId="1" applyNumberFormat="1" applyFont="1" applyFill="1" applyBorder="1" applyAlignment="1">
      <alignment horizontal="right" vertical="center" indent="2" shrinkToFit="1"/>
    </xf>
    <xf numFmtId="4" fontId="52" fillId="2" borderId="48" xfId="1" applyNumberFormat="1" applyFont="1" applyFill="1" applyBorder="1" applyAlignment="1">
      <alignment horizontal="right" vertical="center" indent="2" shrinkToFit="1"/>
    </xf>
    <xf numFmtId="4" fontId="52" fillId="2" borderId="21" xfId="1" applyNumberFormat="1" applyFont="1" applyFill="1" applyBorder="1" applyAlignment="1">
      <alignment horizontal="right" vertical="center" indent="2" shrinkToFit="1"/>
    </xf>
    <xf numFmtId="4" fontId="52" fillId="2" borderId="22" xfId="1" applyNumberFormat="1" applyFont="1" applyFill="1" applyBorder="1" applyAlignment="1">
      <alignment horizontal="right" vertical="center" indent="2" shrinkToFit="1"/>
    </xf>
    <xf numFmtId="4" fontId="52" fillId="2" borderId="23" xfId="1" applyNumberFormat="1" applyFont="1" applyFill="1" applyBorder="1" applyAlignment="1">
      <alignment horizontal="right" vertical="center" indent="2" shrinkToFit="1"/>
    </xf>
    <xf numFmtId="4" fontId="52" fillId="2" borderId="24" xfId="1" applyNumberFormat="1" applyFont="1" applyFill="1" applyBorder="1" applyAlignment="1">
      <alignment horizontal="right" vertical="center" indent="2" shrinkToFit="1"/>
    </xf>
    <xf numFmtId="4" fontId="52" fillId="2" borderId="25" xfId="1" applyNumberFormat="1" applyFont="1" applyFill="1" applyBorder="1" applyAlignment="1">
      <alignment horizontal="right" vertical="center" indent="2" shrinkToFit="1"/>
    </xf>
    <xf numFmtId="4" fontId="52" fillId="2" borderId="26" xfId="1" applyNumberFormat="1" applyFont="1" applyFill="1" applyBorder="1" applyAlignment="1">
      <alignment horizontal="right" vertical="center" indent="2" shrinkToFit="1"/>
    </xf>
    <xf numFmtId="0" fontId="52" fillId="2" borderId="32" xfId="1" applyFont="1" applyFill="1" applyBorder="1" applyAlignment="1">
      <alignment horizontal="center" vertical="center"/>
    </xf>
    <xf numFmtId="0" fontId="52" fillId="2" borderId="33" xfId="1" applyFont="1" applyFill="1" applyBorder="1" applyAlignment="1">
      <alignment horizontal="center" vertical="center"/>
    </xf>
    <xf numFmtId="0" fontId="52" fillId="2" borderId="48" xfId="1" applyFont="1" applyFill="1" applyBorder="1" applyAlignment="1">
      <alignment horizontal="center" vertical="center"/>
    </xf>
    <xf numFmtId="0" fontId="52" fillId="2" borderId="24" xfId="1" applyFont="1" applyFill="1" applyBorder="1" applyAlignment="1">
      <alignment horizontal="center" vertical="center"/>
    </xf>
    <xf numFmtId="0" fontId="52" fillId="2" borderId="25" xfId="1" applyFont="1" applyFill="1" applyBorder="1" applyAlignment="1">
      <alignment horizontal="center" vertical="center"/>
    </xf>
    <xf numFmtId="0" fontId="52" fillId="2" borderId="26" xfId="1" applyFont="1" applyFill="1" applyBorder="1" applyAlignment="1">
      <alignment horizontal="center" vertical="center"/>
    </xf>
    <xf numFmtId="0" fontId="20" fillId="0" borderId="0" xfId="0" applyNumberFormat="1" applyFont="1" applyBorder="1" applyAlignment="1">
      <alignment horizont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14" fillId="0" borderId="0" xfId="0" applyFont="1" applyAlignment="1">
      <alignment horizontal="center"/>
    </xf>
    <xf numFmtId="0" fontId="16" fillId="0" borderId="0" xfId="0" applyFont="1" applyAlignment="1">
      <alignment horizontal="left" vertical="center" wrapText="1" indent="1"/>
    </xf>
    <xf numFmtId="0" fontId="14" fillId="0" borderId="0" xfId="0" applyFont="1" applyAlignment="1">
      <alignment horizontal="left" vertical="center" wrapText="1" indent="1"/>
    </xf>
    <xf numFmtId="0" fontId="24" fillId="4" borderId="25" xfId="1" applyFont="1" applyFill="1" applyBorder="1" applyAlignment="1">
      <alignment horizontal="center" vertical="center"/>
    </xf>
    <xf numFmtId="0" fontId="14" fillId="0" borderId="0" xfId="0" applyNumberFormat="1" applyFont="1" applyFill="1" applyBorder="1" applyAlignment="1" applyProtection="1">
      <alignment horizontal="center" vertical="top" wrapText="1"/>
    </xf>
    <xf numFmtId="0" fontId="16" fillId="0" borderId="23" xfId="0" applyNumberFormat="1" applyFont="1" applyFill="1" applyBorder="1" applyAlignment="1" applyProtection="1">
      <alignment horizontal="left" vertical="center" wrapText="1"/>
    </xf>
    <xf numFmtId="0" fontId="16" fillId="0" borderId="110" xfId="0" applyFont="1" applyBorder="1" applyAlignment="1">
      <alignment vertical="center"/>
    </xf>
    <xf numFmtId="0" fontId="16" fillId="0" borderId="80" xfId="0" applyFont="1" applyBorder="1" applyAlignment="1">
      <alignment vertical="center"/>
    </xf>
    <xf numFmtId="0" fontId="16" fillId="0" borderId="111" xfId="0" applyFont="1" applyBorder="1" applyAlignment="1">
      <alignment vertical="center"/>
    </xf>
    <xf numFmtId="0" fontId="16" fillId="0" borderId="86" xfId="0" applyFont="1" applyBorder="1" applyAlignment="1">
      <alignment vertical="center"/>
    </xf>
    <xf numFmtId="0" fontId="16" fillId="0" borderId="79" xfId="0" applyFont="1" applyBorder="1" applyAlignment="1">
      <alignment vertical="center"/>
    </xf>
    <xf numFmtId="0" fontId="17" fillId="0" borderId="0" xfId="0" applyFont="1" applyBorder="1" applyAlignment="1">
      <alignment horizontal="center"/>
    </xf>
    <xf numFmtId="167" fontId="16" fillId="12" borderId="0" xfId="0" applyNumberFormat="1" applyFont="1" applyFill="1" applyBorder="1" applyAlignment="1">
      <alignment horizontal="center" vertical="center"/>
    </xf>
    <xf numFmtId="167" fontId="16" fillId="8" borderId="0" xfId="0" applyNumberFormat="1" applyFont="1" applyFill="1" applyBorder="1" applyAlignment="1">
      <alignment horizontal="center" vertical="center" wrapText="1"/>
    </xf>
    <xf numFmtId="167" fontId="16" fillId="0" borderId="0" xfId="0" applyNumberFormat="1" applyFont="1" applyFill="1" applyBorder="1" applyAlignment="1">
      <alignment horizontal="center" vertical="center" wrapText="1"/>
    </xf>
    <xf numFmtId="167" fontId="16" fillId="4" borderId="0" xfId="0" applyNumberFormat="1" applyFont="1" applyFill="1" applyBorder="1" applyAlignment="1">
      <alignment horizontal="center" vertical="center" wrapText="1"/>
    </xf>
    <xf numFmtId="167" fontId="16" fillId="12" borderId="0" xfId="0" applyNumberFormat="1" applyFont="1" applyFill="1" applyBorder="1" applyAlignment="1">
      <alignment horizontal="center" vertical="center" wrapText="1"/>
    </xf>
    <xf numFmtId="0" fontId="63" fillId="12" borderId="127" xfId="1" applyFont="1" applyFill="1" applyBorder="1" applyAlignment="1">
      <alignment horizontal="center" vertical="center"/>
    </xf>
    <xf numFmtId="0" fontId="24" fillId="4" borderId="37" xfId="1" applyFont="1" applyFill="1" applyBorder="1" applyAlignment="1">
      <alignment vertical="center"/>
    </xf>
    <xf numFmtId="0" fontId="24" fillId="4" borderId="37" xfId="1" applyFont="1" applyFill="1" applyBorder="1" applyAlignment="1">
      <alignment horizontal="center" vertical="center"/>
    </xf>
    <xf numFmtId="3" fontId="24" fillId="0" borderId="0" xfId="1" applyNumberFormat="1" applyFont="1" applyFill="1" applyBorder="1" applyAlignment="1">
      <alignment horizontal="center" vertical="center"/>
    </xf>
    <xf numFmtId="0" fontId="24" fillId="2" borderId="0" xfId="1" applyFont="1" applyFill="1" applyBorder="1" applyAlignment="1">
      <alignment horizontal="left" vertical="center" indent="1"/>
    </xf>
    <xf numFmtId="14" fontId="24" fillId="2" borderId="0" xfId="1" applyNumberFormat="1" applyFont="1" applyFill="1" applyBorder="1" applyAlignment="1">
      <alignment horizontal="left" vertical="center" indent="1"/>
    </xf>
    <xf numFmtId="14" fontId="24" fillId="2" borderId="73" xfId="1" applyNumberFormat="1" applyFont="1" applyFill="1" applyBorder="1" applyAlignment="1">
      <alignment horizontal="left" vertical="center" indent="1"/>
    </xf>
    <xf numFmtId="0" fontId="20" fillId="2" borderId="0" xfId="0" applyFont="1" applyFill="1" applyAlignment="1">
      <alignment horizontal="center" vertical="center"/>
    </xf>
    <xf numFmtId="14" fontId="52" fillId="2" borderId="0" xfId="1" applyNumberFormat="1" applyFont="1" applyFill="1" applyBorder="1" applyAlignment="1">
      <alignment horizontal="center" vertical="center" wrapText="1"/>
    </xf>
    <xf numFmtId="0" fontId="10" fillId="2" borderId="127" xfId="1" applyFill="1" applyBorder="1" applyAlignment="1">
      <alignment horizontal="center" vertical="center"/>
    </xf>
    <xf numFmtId="0" fontId="24" fillId="2" borderId="39" xfId="1" quotePrefix="1" applyFont="1" applyFill="1" applyBorder="1" applyAlignment="1">
      <alignment horizontal="left" vertical="center"/>
    </xf>
    <xf numFmtId="0" fontId="24" fillId="2" borderId="41" xfId="1" applyFont="1" applyFill="1" applyBorder="1" applyAlignment="1">
      <alignment horizontal="left" vertical="center"/>
    </xf>
    <xf numFmtId="0" fontId="24" fillId="0" borderId="0" xfId="1" applyFont="1" applyBorder="1" applyAlignment="1">
      <alignment vertical="center" shrinkToFit="1"/>
    </xf>
    <xf numFmtId="0" fontId="24" fillId="0" borderId="0" xfId="1" applyFont="1" applyFill="1" applyBorder="1" applyAlignment="1">
      <alignment horizontal="center" vertical="center" wrapText="1"/>
    </xf>
    <xf numFmtId="4" fontId="24" fillId="0" borderId="0" xfId="1" applyNumberFormat="1" applyFont="1" applyFill="1" applyBorder="1" applyAlignment="1">
      <alignment horizontal="center" vertical="center" wrapText="1"/>
    </xf>
    <xf numFmtId="4" fontId="24" fillId="0" borderId="0" xfId="1" applyNumberFormat="1" applyFont="1" applyFill="1" applyBorder="1" applyAlignment="1">
      <alignment horizontal="center" vertical="center"/>
    </xf>
    <xf numFmtId="0" fontId="24" fillId="0" borderId="8" xfId="1" applyFont="1" applyBorder="1" applyAlignment="1">
      <alignment vertical="center" wrapText="1"/>
    </xf>
    <xf numFmtId="0" fontId="25" fillId="4" borderId="78" xfId="1" applyFont="1" applyFill="1" applyBorder="1" applyAlignment="1">
      <alignment horizontal="center" vertical="center" wrapText="1"/>
    </xf>
    <xf numFmtId="4" fontId="24" fillId="0" borderId="83" xfId="1" applyNumberFormat="1" applyFont="1" applyFill="1" applyBorder="1" applyAlignment="1">
      <alignment vertical="center" shrinkToFit="1"/>
    </xf>
    <xf numFmtId="4" fontId="24" fillId="0" borderId="84" xfId="1" applyNumberFormat="1" applyFont="1" applyFill="1" applyBorder="1" applyAlignment="1">
      <alignment vertical="center" shrinkToFit="1"/>
    </xf>
    <xf numFmtId="0" fontId="24" fillId="4" borderId="78" xfId="1" applyFont="1" applyFill="1" applyBorder="1" applyAlignment="1">
      <alignment horizontal="center" vertical="center"/>
    </xf>
    <xf numFmtId="3" fontId="24" fillId="0" borderId="15" xfId="1" applyNumberFormat="1" applyFont="1" applyFill="1" applyBorder="1" applyAlignment="1">
      <alignment horizontal="center" vertical="center"/>
    </xf>
    <xf numFmtId="0" fontId="10" fillId="4" borderId="45" xfId="1" applyFill="1" applyBorder="1"/>
    <xf numFmtId="0" fontId="10" fillId="4" borderId="14" xfId="1" applyFill="1" applyBorder="1"/>
    <xf numFmtId="0" fontId="67" fillId="2" borderId="39" xfId="1" applyFont="1" applyFill="1" applyBorder="1" applyAlignment="1">
      <alignment horizontal="center" vertical="center"/>
    </xf>
    <xf numFmtId="0" fontId="24" fillId="2" borderId="45" xfId="1" applyFont="1" applyFill="1" applyBorder="1" applyAlignment="1">
      <alignment horizontal="left" vertical="center" indent="4" shrinkToFit="1"/>
    </xf>
    <xf numFmtId="0" fontId="24" fillId="2" borderId="13" xfId="1" applyFont="1" applyFill="1" applyBorder="1" applyAlignment="1">
      <alignment horizontal="left" vertical="center" indent="4" shrinkToFit="1"/>
    </xf>
    <xf numFmtId="0" fontId="24" fillId="2" borderId="14" xfId="1" applyFont="1" applyFill="1" applyBorder="1" applyAlignment="1">
      <alignment horizontal="left" vertical="center" indent="4" shrinkToFit="1"/>
    </xf>
    <xf numFmtId="14" fontId="71" fillId="0" borderId="0" xfId="20" applyNumberFormat="1" applyFill="1" applyBorder="1" applyAlignment="1">
      <alignment horizontal="left" vertical="center" indent="1"/>
    </xf>
    <xf numFmtId="0" fontId="72" fillId="2" borderId="158" xfId="20" applyFont="1" applyFill="1" applyBorder="1" applyAlignment="1">
      <alignment horizontal="center" vertical="center" shrinkToFit="1"/>
    </xf>
    <xf numFmtId="0" fontId="72" fillId="2" borderId="159" xfId="20" applyFont="1" applyFill="1" applyBorder="1" applyAlignment="1">
      <alignment horizontal="center" vertical="center" shrinkToFit="1"/>
    </xf>
    <xf numFmtId="0" fontId="72" fillId="2" borderId="160" xfId="20" applyFont="1" applyFill="1" applyBorder="1" applyAlignment="1">
      <alignment horizontal="center" vertical="center" shrinkToFit="1"/>
    </xf>
    <xf numFmtId="0" fontId="0" fillId="2" borderId="0" xfId="0" applyFill="1"/>
    <xf numFmtId="0" fontId="73" fillId="2" borderId="153" xfId="1" applyFont="1" applyFill="1" applyBorder="1" applyAlignment="1">
      <alignment vertical="center"/>
    </xf>
    <xf numFmtId="0" fontId="73" fillId="2" borderId="0" xfId="1" applyFont="1" applyFill="1" applyBorder="1" applyAlignment="1">
      <alignment vertical="center"/>
    </xf>
    <xf numFmtId="0" fontId="73" fillId="2" borderId="11" xfId="1" applyFont="1" applyFill="1" applyBorder="1" applyAlignment="1">
      <alignment vertical="center"/>
    </xf>
    <xf numFmtId="0" fontId="74" fillId="2" borderId="0" xfId="1" applyFont="1" applyFill="1"/>
    <xf numFmtId="0" fontId="74" fillId="0" borderId="0" xfId="1" applyFont="1" applyFill="1"/>
    <xf numFmtId="0" fontId="75" fillId="0" borderId="0" xfId="20" applyFont="1" applyFill="1" applyBorder="1" applyAlignment="1">
      <alignment horizontal="center" vertical="center"/>
    </xf>
    <xf numFmtId="0" fontId="73" fillId="0" borderId="0" xfId="1" applyFont="1" applyFill="1" applyBorder="1" applyAlignment="1">
      <alignment vertical="center"/>
    </xf>
    <xf numFmtId="0" fontId="74" fillId="0" borderId="0" xfId="1" applyFont="1"/>
    <xf numFmtId="0" fontId="70" fillId="0" borderId="0" xfId="1" applyFont="1"/>
    <xf numFmtId="0" fontId="31" fillId="0" borderId="22" xfId="1" applyNumberFormat="1" applyFont="1" applyFill="1" applyBorder="1" applyAlignment="1">
      <alignment vertical="center" shrinkToFit="1"/>
    </xf>
    <xf numFmtId="0" fontId="31" fillId="0" borderId="22" xfId="1" applyNumberFormat="1" applyFont="1" applyFill="1" applyBorder="1" applyAlignment="1">
      <alignment horizontal="center" vertical="center"/>
    </xf>
    <xf numFmtId="0" fontId="18" fillId="0" borderId="0" xfId="0" applyNumberFormat="1" applyFont="1" applyFill="1" applyBorder="1" applyAlignment="1" applyProtection="1">
      <alignment horizontal="left" vertical="center" indent="1"/>
    </xf>
    <xf numFmtId="2" fontId="10" fillId="0" borderId="0" xfId="1" applyNumberFormat="1" applyBorder="1"/>
    <xf numFmtId="0" fontId="18" fillId="0" borderId="83" xfId="20" applyFont="1" applyFill="1" applyBorder="1" applyAlignment="1">
      <alignment horizontal="left" vertical="center" indent="1"/>
    </xf>
    <xf numFmtId="0" fontId="18" fillId="0" borderId="87" xfId="20" applyFont="1" applyFill="1" applyBorder="1" applyAlignment="1">
      <alignment horizontal="left" vertical="center" indent="1"/>
    </xf>
    <xf numFmtId="0" fontId="18" fillId="4" borderId="161" xfId="20" applyFont="1" applyFill="1" applyBorder="1" applyAlignment="1">
      <alignment horizontal="center" vertical="center" shrinkToFit="1"/>
    </xf>
    <xf numFmtId="0" fontId="18" fillId="4" borderId="38" xfId="20" applyFont="1" applyFill="1" applyBorder="1" applyAlignment="1">
      <alignment horizontal="center" vertical="center" shrinkToFit="1"/>
    </xf>
    <xf numFmtId="0" fontId="18" fillId="4" borderId="37" xfId="20" applyFont="1" applyFill="1" applyBorder="1" applyAlignment="1">
      <alignment horizontal="center" vertical="center" shrinkToFit="1"/>
    </xf>
    <xf numFmtId="0" fontId="18" fillId="4" borderId="161" xfId="20" applyFont="1" applyFill="1" applyBorder="1" applyAlignment="1">
      <alignment horizontal="center" vertical="center" wrapText="1"/>
    </xf>
    <xf numFmtId="0" fontId="18" fillId="4" borderId="38" xfId="20" applyFont="1" applyFill="1" applyBorder="1" applyAlignment="1">
      <alignment horizontal="center" vertical="center" wrapText="1"/>
    </xf>
    <xf numFmtId="0" fontId="18" fillId="4" borderId="37" xfId="20" applyFont="1" applyFill="1" applyBorder="1" applyAlignment="1">
      <alignment horizontal="center" vertical="center" wrapText="1"/>
    </xf>
    <xf numFmtId="4" fontId="24" fillId="4" borderId="33" xfId="1" applyNumberFormat="1" applyFont="1" applyFill="1" applyBorder="1" applyAlignment="1">
      <alignment horizontal="right" vertical="center" shrinkToFit="1"/>
    </xf>
    <xf numFmtId="4" fontId="24" fillId="4" borderId="33" xfId="1" applyNumberFormat="1" applyFont="1" applyFill="1" applyBorder="1" applyAlignment="1">
      <alignment vertical="center" shrinkToFit="1"/>
    </xf>
    <xf numFmtId="4" fontId="24" fillId="4" borderId="88" xfId="1" applyNumberFormat="1" applyFont="1" applyFill="1" applyBorder="1" applyAlignment="1">
      <alignment vertical="center" shrinkToFit="1"/>
    </xf>
    <xf numFmtId="0" fontId="18" fillId="4" borderId="25" xfId="20" applyFont="1" applyFill="1" applyBorder="1" applyAlignment="1">
      <alignment horizontal="center" vertical="center"/>
    </xf>
    <xf numFmtId="0" fontId="18" fillId="4" borderId="26" xfId="20" applyFont="1" applyFill="1" applyBorder="1" applyAlignment="1">
      <alignment horizontal="center" vertical="center"/>
    </xf>
    <xf numFmtId="0" fontId="18" fillId="4" borderId="84" xfId="20" applyFont="1" applyFill="1" applyBorder="1" applyAlignment="1">
      <alignment horizontal="center" vertical="center"/>
    </xf>
    <xf numFmtId="169" fontId="16" fillId="0" borderId="33" xfId="15" applyNumberFormat="1" applyFont="1" applyFill="1" applyBorder="1" applyAlignment="1">
      <alignment vertical="center" wrapText="1" shrinkToFit="1"/>
    </xf>
    <xf numFmtId="0" fontId="24" fillId="0" borderId="0" xfId="1" applyFont="1" applyAlignment="1">
      <alignment horizontal="center" vertical="center"/>
    </xf>
    <xf numFmtId="0" fontId="24" fillId="0" borderId="0" xfId="1" applyFont="1"/>
    <xf numFmtId="0" fontId="16" fillId="14" borderId="83" xfId="0" applyNumberFormat="1" applyFont="1" applyFill="1" applyBorder="1" applyAlignment="1" applyProtection="1">
      <alignment horizontal="left" vertical="center" wrapText="1"/>
    </xf>
    <xf numFmtId="4" fontId="16" fillId="0" borderId="21" xfId="0" applyNumberFormat="1" applyFont="1" applyFill="1" applyBorder="1" applyAlignment="1" applyProtection="1">
      <alignment horizontal="center" vertical="center" shrinkToFit="1"/>
    </xf>
    <xf numFmtId="4" fontId="16" fillId="0" borderId="22" xfId="0" applyNumberFormat="1" applyFont="1" applyFill="1" applyBorder="1" applyAlignment="1" applyProtection="1">
      <alignment horizontal="center" vertical="center" shrinkToFit="1"/>
    </xf>
    <xf numFmtId="4" fontId="16" fillId="0" borderId="24" xfId="0" applyNumberFormat="1" applyFont="1" applyFill="1" applyBorder="1" applyAlignment="1" applyProtection="1">
      <alignment horizontal="center" vertical="center" shrinkToFit="1"/>
    </xf>
    <xf numFmtId="4" fontId="16" fillId="0" borderId="25" xfId="0" applyNumberFormat="1" applyFont="1" applyFill="1" applyBorder="1" applyAlignment="1" applyProtection="1">
      <alignment horizontal="center" vertical="center" shrinkToFit="1"/>
    </xf>
    <xf numFmtId="4" fontId="16" fillId="0" borderId="23" xfId="0" applyNumberFormat="1" applyFont="1" applyFill="1" applyBorder="1" applyAlignment="1" applyProtection="1">
      <alignment horizontal="center" vertical="center" shrinkToFit="1"/>
    </xf>
    <xf numFmtId="4" fontId="16" fillId="0" borderId="26" xfId="0" applyNumberFormat="1" applyFont="1" applyFill="1" applyBorder="1" applyAlignment="1" applyProtection="1">
      <alignment horizontal="center" vertical="center" shrinkToFit="1"/>
    </xf>
    <xf numFmtId="4" fontId="16" fillId="0" borderId="18" xfId="0" applyNumberFormat="1" applyFont="1" applyFill="1" applyBorder="1" applyAlignment="1" applyProtection="1">
      <alignment horizontal="center" vertical="center" shrinkToFit="1"/>
    </xf>
    <xf numFmtId="4" fontId="16" fillId="0" borderId="19" xfId="0" applyNumberFormat="1" applyFont="1" applyFill="1" applyBorder="1" applyAlignment="1" applyProtection="1">
      <alignment horizontal="center" vertical="center" shrinkToFit="1"/>
    </xf>
    <xf numFmtId="4" fontId="17" fillId="0" borderId="24" xfId="0" applyNumberFormat="1" applyFont="1" applyFill="1" applyBorder="1" applyAlignment="1" applyProtection="1">
      <alignment horizontal="center" vertical="center" shrinkToFit="1"/>
    </xf>
    <xf numFmtId="4" fontId="16" fillId="0" borderId="20" xfId="0" applyNumberFormat="1" applyFont="1" applyFill="1" applyBorder="1" applyAlignment="1" applyProtection="1">
      <alignment horizontal="center" vertical="center" shrinkToFit="1"/>
    </xf>
    <xf numFmtId="4" fontId="16" fillId="0" borderId="78" xfId="0" applyNumberFormat="1" applyFont="1" applyFill="1" applyBorder="1" applyAlignment="1" applyProtection="1">
      <alignment horizontal="center" vertical="center" shrinkToFit="1"/>
    </xf>
    <xf numFmtId="4" fontId="16" fillId="0" borderId="33" xfId="0" applyNumberFormat="1" applyFont="1" applyFill="1" applyBorder="1" applyAlignment="1" applyProtection="1">
      <alignment horizontal="center" vertical="center" shrinkToFit="1"/>
    </xf>
    <xf numFmtId="4" fontId="17" fillId="0" borderId="93" xfId="0" applyNumberFormat="1" applyFont="1" applyFill="1" applyBorder="1" applyAlignment="1" applyProtection="1">
      <alignment horizontal="center" vertical="center" shrinkToFit="1"/>
    </xf>
    <xf numFmtId="4" fontId="16" fillId="0" borderId="48" xfId="0" applyNumberFormat="1" applyFont="1" applyFill="1" applyBorder="1" applyAlignment="1" applyProtection="1">
      <alignment horizontal="center" vertical="center" shrinkToFit="1"/>
    </xf>
    <xf numFmtId="4" fontId="16" fillId="0" borderId="75" xfId="0" applyNumberFormat="1" applyFont="1" applyFill="1" applyBorder="1" applyAlignment="1" applyProtection="1">
      <alignment horizontal="center" vertical="center" shrinkToFit="1"/>
    </xf>
    <xf numFmtId="4" fontId="16" fillId="0" borderId="72" xfId="0" applyNumberFormat="1" applyFont="1" applyFill="1" applyBorder="1" applyAlignment="1" applyProtection="1">
      <alignment horizontal="center" vertical="center" shrinkToFit="1"/>
    </xf>
    <xf numFmtId="0" fontId="14" fillId="0" borderId="71" xfId="0" applyNumberFormat="1" applyFont="1" applyFill="1" applyBorder="1" applyAlignment="1" applyProtection="1">
      <alignment horizontal="center" vertical="top"/>
    </xf>
    <xf numFmtId="0" fontId="14" fillId="0" borderId="30" xfId="0" applyNumberFormat="1" applyFont="1" applyFill="1" applyBorder="1" applyAlignment="1" applyProtection="1">
      <alignment horizontal="center" vertical="top"/>
    </xf>
    <xf numFmtId="0" fontId="14" fillId="0" borderId="46" xfId="0" applyNumberFormat="1" applyFont="1" applyFill="1" applyBorder="1" applyAlignment="1" applyProtection="1">
      <alignment horizontal="center" vertical="top"/>
    </xf>
    <xf numFmtId="0" fontId="14" fillId="0" borderId="29" xfId="0" applyNumberFormat="1" applyFont="1" applyFill="1" applyBorder="1" applyAlignment="1" applyProtection="1">
      <alignment horizontal="center" vertical="top"/>
    </xf>
    <xf numFmtId="0" fontId="14" fillId="0" borderId="22" xfId="0" applyNumberFormat="1" applyFont="1" applyFill="1" applyBorder="1" applyAlignment="1" applyProtection="1">
      <alignment horizontal="center" vertical="top" wrapText="1"/>
    </xf>
    <xf numFmtId="0" fontId="14" fillId="0" borderId="23" xfId="0" applyNumberFormat="1" applyFont="1" applyFill="1" applyBorder="1" applyAlignment="1" applyProtection="1">
      <alignment horizontal="center" vertical="top" wrapText="1"/>
    </xf>
    <xf numFmtId="4" fontId="17" fillId="0" borderId="43" xfId="0" applyNumberFormat="1" applyFont="1" applyFill="1" applyBorder="1" applyAlignment="1" applyProtection="1">
      <alignment horizontal="center" vertical="center" shrinkToFit="1"/>
    </xf>
    <xf numFmtId="4" fontId="17" fillId="0" borderId="44" xfId="0" applyNumberFormat="1" applyFont="1" applyFill="1" applyBorder="1" applyAlignment="1" applyProtection="1">
      <alignment horizontal="center" vertical="center" shrinkToFit="1"/>
    </xf>
    <xf numFmtId="0" fontId="14" fillId="0" borderId="19" xfId="0" applyNumberFormat="1" applyFont="1" applyFill="1" applyBorder="1" applyAlignment="1" applyProtection="1">
      <alignment horizontal="center" vertical="center" wrapText="1"/>
    </xf>
    <xf numFmtId="0" fontId="14" fillId="0" borderId="20" xfId="0" applyNumberFormat="1" applyFont="1" applyFill="1" applyBorder="1" applyAlignment="1" applyProtection="1">
      <alignment horizontal="center" vertical="center" wrapText="1"/>
    </xf>
    <xf numFmtId="4" fontId="17" fillId="0" borderId="15" xfId="0" applyNumberFormat="1" applyFont="1" applyFill="1" applyBorder="1" applyAlignment="1" applyProtection="1">
      <alignment horizontal="center" vertical="center" shrinkToFit="1"/>
    </xf>
    <xf numFmtId="4" fontId="17" fillId="0" borderId="16" xfId="0" applyNumberFormat="1" applyFont="1" applyFill="1" applyBorder="1" applyAlignment="1" applyProtection="1">
      <alignment horizontal="center" vertical="center" shrinkToFit="1"/>
    </xf>
    <xf numFmtId="4" fontId="16" fillId="0" borderId="30" xfId="0" applyNumberFormat="1" applyFont="1" applyFill="1" applyBorder="1" applyAlignment="1" applyProtection="1">
      <alignment horizontal="center" vertical="center" shrinkToFit="1"/>
    </xf>
    <xf numFmtId="4" fontId="16" fillId="0" borderId="46" xfId="0" applyNumberFormat="1" applyFont="1" applyFill="1" applyBorder="1" applyAlignment="1" applyProtection="1">
      <alignment horizontal="center" vertical="center" shrinkToFit="1"/>
    </xf>
    <xf numFmtId="4" fontId="16" fillId="0" borderId="29" xfId="0" applyNumberFormat="1" applyFont="1" applyFill="1" applyBorder="1" applyAlignment="1" applyProtection="1">
      <alignment horizontal="center" vertical="center" shrinkToFit="1"/>
    </xf>
    <xf numFmtId="4" fontId="16" fillId="0" borderId="85" xfId="0" applyNumberFormat="1" applyFont="1" applyFill="1" applyBorder="1" applyAlignment="1" applyProtection="1">
      <alignment horizontal="center" vertical="center" shrinkToFit="1"/>
    </xf>
    <xf numFmtId="4" fontId="16" fillId="0" borderId="71" xfId="0" applyNumberFormat="1" applyFont="1" applyFill="1" applyBorder="1" applyAlignment="1" applyProtection="1">
      <alignment horizontal="center" vertical="center" shrinkToFit="1"/>
    </xf>
    <xf numFmtId="4" fontId="17" fillId="0" borderId="95" xfId="0" applyNumberFormat="1" applyFont="1" applyFill="1" applyBorder="1" applyAlignment="1" applyProtection="1">
      <alignment horizontal="center" vertical="center" shrinkToFit="1"/>
    </xf>
    <xf numFmtId="4" fontId="17" fillId="0" borderId="42" xfId="0" applyNumberFormat="1" applyFont="1" applyFill="1" applyBorder="1" applyAlignment="1" applyProtection="1">
      <alignment horizontal="center" vertical="center" shrinkToFit="1"/>
    </xf>
    <xf numFmtId="4" fontId="16" fillId="0" borderId="114" xfId="0" applyNumberFormat="1" applyFont="1" applyFill="1" applyBorder="1" applyAlignment="1" applyProtection="1">
      <alignment horizontal="center" vertical="center" shrinkToFit="1"/>
    </xf>
    <xf numFmtId="169" fontId="76" fillId="0" borderId="22" xfId="15" applyNumberFormat="1" applyFont="1" applyFill="1" applyBorder="1" applyAlignment="1">
      <alignment vertical="center" shrinkToFit="1"/>
    </xf>
    <xf numFmtId="169" fontId="76" fillId="0" borderId="22" xfId="2" applyNumberFormat="1" applyFont="1" applyFill="1" applyBorder="1" applyAlignment="1">
      <alignment horizontal="center" vertical="center" wrapText="1"/>
    </xf>
    <xf numFmtId="0" fontId="77" fillId="0" borderId="22" xfId="1" applyFont="1" applyFill="1" applyBorder="1" applyAlignment="1">
      <alignment horizontal="center"/>
    </xf>
    <xf numFmtId="0" fontId="78" fillId="0" borderId="22" xfId="1" applyFont="1" applyFill="1" applyBorder="1" applyAlignment="1">
      <alignment horizontal="center" vertical="center"/>
    </xf>
    <xf numFmtId="169" fontId="79" fillId="0" borderId="22" xfId="15" applyNumberFormat="1" applyFont="1" applyFill="1" applyBorder="1" applyAlignment="1">
      <alignment vertical="center" shrinkToFit="1"/>
    </xf>
    <xf numFmtId="169" fontId="79" fillId="0" borderId="22" xfId="2" applyNumberFormat="1" applyFont="1" applyFill="1" applyBorder="1" applyAlignment="1">
      <alignment horizontal="center" vertical="center" wrapText="1"/>
    </xf>
    <xf numFmtId="0" fontId="80" fillId="0" borderId="22" xfId="1" applyFont="1" applyFill="1" applyBorder="1" applyAlignment="1">
      <alignment horizontal="center"/>
    </xf>
    <xf numFmtId="0" fontId="81" fillId="0" borderId="22" xfId="1" applyFont="1" applyFill="1" applyBorder="1" applyAlignment="1">
      <alignment horizontal="center" vertical="center"/>
    </xf>
    <xf numFmtId="3" fontId="24" fillId="0" borderId="30" xfId="19" applyNumberFormat="1" applyFont="1" applyBorder="1" applyAlignment="1">
      <alignment horizontal="left" vertical="center" wrapText="1" indent="1"/>
    </xf>
    <xf numFmtId="167" fontId="16" fillId="12" borderId="160" xfId="0" applyNumberFormat="1" applyFont="1" applyFill="1" applyBorder="1" applyAlignment="1">
      <alignment horizontal="center" vertical="center"/>
    </xf>
    <xf numFmtId="167" fontId="16" fillId="8" borderId="157" xfId="0" applyNumberFormat="1" applyFont="1" applyFill="1" applyBorder="1" applyAlignment="1">
      <alignment horizontal="center" vertical="center" wrapText="1"/>
    </xf>
    <xf numFmtId="167" fontId="16" fillId="8" borderId="162" xfId="0" applyNumberFormat="1" applyFont="1" applyFill="1" applyBorder="1" applyAlignment="1">
      <alignment horizontal="center" vertical="center" wrapText="1"/>
    </xf>
    <xf numFmtId="167" fontId="16" fillId="8" borderId="163" xfId="0" applyNumberFormat="1" applyFont="1" applyFill="1" applyBorder="1" applyAlignment="1">
      <alignment horizontal="center" vertical="center" wrapText="1"/>
    </xf>
    <xf numFmtId="4" fontId="24" fillId="0" borderId="75" xfId="1" applyNumberFormat="1" applyFont="1" applyFill="1" applyBorder="1" applyAlignment="1">
      <alignment horizontal="center" vertical="center" shrinkToFit="1"/>
    </xf>
    <xf numFmtId="4" fontId="24" fillId="0" borderId="48" xfId="1" applyNumberFormat="1" applyFont="1" applyBorder="1" applyAlignment="1">
      <alignment horizontal="center" vertical="center" shrinkToFit="1"/>
    </xf>
    <xf numFmtId="4" fontId="24" fillId="0" borderId="72" xfId="1" applyNumberFormat="1" applyFont="1" applyFill="1" applyBorder="1" applyAlignment="1">
      <alignment horizontal="center" vertical="center" shrinkToFit="1"/>
    </xf>
    <xf numFmtId="4" fontId="24" fillId="0" borderId="23" xfId="1" applyNumberFormat="1" applyFont="1" applyBorder="1" applyAlignment="1">
      <alignment horizontal="center" vertical="center" shrinkToFit="1"/>
    </xf>
    <xf numFmtId="4" fontId="26" fillId="4" borderId="78" xfId="1" applyNumberFormat="1" applyFont="1" applyFill="1" applyBorder="1" applyAlignment="1">
      <alignment horizontal="center" vertical="center" shrinkToFit="1"/>
    </xf>
    <xf numFmtId="4" fontId="26" fillId="4" borderId="26" xfId="1" applyNumberFormat="1" applyFont="1" applyFill="1" applyBorder="1" applyAlignment="1">
      <alignment horizontal="center" vertical="center" shrinkToFit="1"/>
    </xf>
    <xf numFmtId="0" fontId="16" fillId="0" borderId="17" xfId="0" applyNumberFormat="1" applyFont="1" applyFill="1" applyBorder="1" applyAlignment="1" applyProtection="1">
      <alignment horizontal="left" vertical="center"/>
    </xf>
    <xf numFmtId="4" fontId="16" fillId="0" borderId="94" xfId="0" applyNumberFormat="1" applyFont="1" applyFill="1" applyBorder="1" applyAlignment="1" applyProtection="1">
      <alignment horizontal="center" vertical="center" shrinkToFit="1"/>
    </xf>
    <xf numFmtId="4" fontId="16" fillId="0" borderId="95" xfId="0" applyNumberFormat="1" applyFont="1" applyFill="1" applyBorder="1" applyAlignment="1" applyProtection="1">
      <alignment horizontal="center" vertical="center" shrinkToFit="1"/>
    </xf>
    <xf numFmtId="4" fontId="16" fillId="0" borderId="15" xfId="0" applyNumberFormat="1" applyFont="1" applyFill="1" applyBorder="1" applyAlignment="1" applyProtection="1">
      <alignment horizontal="center" vertical="center" shrinkToFit="1"/>
    </xf>
    <xf numFmtId="0" fontId="16" fillId="0" borderId="158" xfId="0" applyNumberFormat="1" applyFont="1" applyFill="1" applyBorder="1" applyAlignment="1" applyProtection="1">
      <alignment horizontal="center" vertical="center"/>
    </xf>
    <xf numFmtId="0" fontId="16" fillId="0" borderId="120" xfId="0" applyNumberFormat="1" applyFont="1" applyFill="1" applyBorder="1" applyAlignment="1" applyProtection="1">
      <alignment horizontal="left" vertical="center"/>
    </xf>
    <xf numFmtId="4" fontId="16" fillId="0" borderId="158" xfId="0" applyNumberFormat="1" applyFont="1" applyFill="1" applyBorder="1" applyAlignment="1" applyProtection="1">
      <alignment horizontal="center" vertical="center" shrinkToFit="1"/>
    </xf>
    <xf numFmtId="4" fontId="16" fillId="0" borderId="159" xfId="0" applyNumberFormat="1" applyFont="1" applyFill="1" applyBorder="1" applyAlignment="1" applyProtection="1">
      <alignment horizontal="center" vertical="center" shrinkToFit="1"/>
    </xf>
    <xf numFmtId="4" fontId="16" fillId="14" borderId="160" xfId="0" applyNumberFormat="1" applyFont="1" applyFill="1" applyBorder="1" applyAlignment="1" applyProtection="1">
      <alignment horizontal="center" vertical="center" shrinkToFit="1"/>
    </xf>
    <xf numFmtId="4" fontId="16" fillId="14" borderId="120" xfId="0" applyNumberFormat="1" applyFont="1" applyFill="1" applyBorder="1" applyAlignment="1" applyProtection="1">
      <alignment horizontal="center" vertical="center" shrinkToFit="1"/>
    </xf>
    <xf numFmtId="4" fontId="16" fillId="0" borderId="33" xfId="0" applyNumberFormat="1" applyFont="1" applyFill="1" applyBorder="1" applyAlignment="1" applyProtection="1">
      <alignment horizontal="center" vertical="center" shrinkToFit="1"/>
    </xf>
    <xf numFmtId="4" fontId="16" fillId="0" borderId="75" xfId="0" applyNumberFormat="1" applyFont="1" applyFill="1" applyBorder="1" applyAlignment="1" applyProtection="1">
      <alignment horizontal="center" vertical="center" shrinkToFit="1"/>
    </xf>
    <xf numFmtId="4" fontId="16" fillId="0" borderId="21" xfId="0" applyNumberFormat="1" applyFont="1" applyFill="1" applyBorder="1" applyAlignment="1" applyProtection="1">
      <alignment horizontal="center" vertical="center" shrinkToFit="1"/>
    </xf>
    <xf numFmtId="4" fontId="16" fillId="0" borderId="22" xfId="0" applyNumberFormat="1" applyFont="1" applyFill="1" applyBorder="1" applyAlignment="1" applyProtection="1">
      <alignment horizontal="center" vertical="center" shrinkToFit="1"/>
    </xf>
    <xf numFmtId="4" fontId="17" fillId="0" borderId="94" xfId="0" applyNumberFormat="1" applyFont="1" applyFill="1" applyBorder="1" applyAlignment="1" applyProtection="1">
      <alignment horizontal="center" vertical="center" shrinkToFit="1"/>
    </xf>
    <xf numFmtId="4" fontId="17" fillId="0" borderId="16" xfId="0" applyNumberFormat="1" applyFont="1" applyFill="1" applyBorder="1" applyAlignment="1" applyProtection="1">
      <alignment horizontal="center" vertical="center" shrinkToFit="1"/>
    </xf>
    <xf numFmtId="4" fontId="17" fillId="0" borderId="15" xfId="0" applyNumberFormat="1" applyFont="1" applyFill="1" applyBorder="1" applyAlignment="1" applyProtection="1">
      <alignment horizontal="center" vertical="center" shrinkToFit="1"/>
    </xf>
    <xf numFmtId="49" fontId="17" fillId="7" borderId="21" xfId="0" applyNumberFormat="1" applyFont="1" applyFill="1" applyBorder="1" applyAlignment="1">
      <alignment horizontal="center" vertical="center"/>
    </xf>
    <xf numFmtId="49" fontId="17" fillId="7" borderId="22" xfId="0" applyNumberFormat="1" applyFont="1" applyFill="1" applyBorder="1" applyAlignment="1">
      <alignment horizontal="center" vertical="center"/>
    </xf>
    <xf numFmtId="49" fontId="17" fillId="7" borderId="83" xfId="0" applyNumberFormat="1" applyFont="1" applyFill="1" applyBorder="1" applyAlignment="1">
      <alignment horizontal="center" vertical="center"/>
    </xf>
    <xf numFmtId="4" fontId="17" fillId="0" borderId="95" xfId="0" applyNumberFormat="1" applyFont="1" applyFill="1" applyBorder="1" applyAlignment="1" applyProtection="1">
      <alignment horizontal="center" vertical="center" wrapText="1" shrinkToFit="1"/>
    </xf>
    <xf numFmtId="4" fontId="28" fillId="0" borderId="169" xfId="2" applyNumberFormat="1" applyFont="1" applyBorder="1" applyAlignment="1">
      <alignment horizontal="right" vertical="top"/>
    </xf>
    <xf numFmtId="4" fontId="31" fillId="0" borderId="0" xfId="1" applyNumberFormat="1" applyFont="1" applyBorder="1"/>
    <xf numFmtId="4" fontId="17" fillId="0" borderId="94" xfId="0" applyNumberFormat="1" applyFont="1" applyFill="1" applyBorder="1" applyAlignment="1" applyProtection="1">
      <alignment horizontal="center" vertical="center" shrinkToFit="1"/>
    </xf>
    <xf numFmtId="4" fontId="17" fillId="0" borderId="16" xfId="0" applyNumberFormat="1" applyFont="1" applyFill="1" applyBorder="1" applyAlignment="1" applyProtection="1">
      <alignment horizontal="center" vertical="center" shrinkToFit="1"/>
    </xf>
    <xf numFmtId="0" fontId="17" fillId="0" borderId="17" xfId="0" applyNumberFormat="1" applyFont="1" applyFill="1" applyBorder="1" applyAlignment="1" applyProtection="1">
      <alignment horizontal="right" vertical="center"/>
    </xf>
    <xf numFmtId="4" fontId="17" fillId="0" borderId="15"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left" vertical="center"/>
    </xf>
    <xf numFmtId="0" fontId="24" fillId="0" borderId="23" xfId="1" applyFont="1" applyFill="1" applyBorder="1" applyAlignment="1">
      <alignment horizontal="left" vertical="center" indent="1" shrinkToFit="1"/>
    </xf>
    <xf numFmtId="0" fontId="24" fillId="0" borderId="83" xfId="1" applyFont="1" applyFill="1" applyBorder="1" applyAlignment="1">
      <alignment horizontal="left" vertical="center" indent="1" shrinkToFit="1"/>
    </xf>
    <xf numFmtId="4" fontId="16" fillId="0" borderId="72" xfId="0" applyNumberFormat="1" applyFont="1" applyFill="1" applyBorder="1" applyAlignment="1" applyProtection="1">
      <alignment horizontal="center" vertical="center" shrinkToFit="1"/>
    </xf>
    <xf numFmtId="4" fontId="16" fillId="0" borderId="22" xfId="0" applyNumberFormat="1" applyFont="1" applyFill="1" applyBorder="1" applyAlignment="1" applyProtection="1">
      <alignment horizontal="center" vertical="center" shrinkToFit="1"/>
    </xf>
    <xf numFmtId="4" fontId="16" fillId="0" borderId="23" xfId="0" applyNumberFormat="1" applyFont="1" applyFill="1" applyBorder="1" applyAlignment="1" applyProtection="1">
      <alignment horizontal="center" vertical="center" shrinkToFit="1"/>
    </xf>
    <xf numFmtId="4" fontId="16" fillId="0" borderId="33" xfId="0" applyNumberFormat="1" applyFont="1" applyFill="1" applyBorder="1" applyAlignment="1" applyProtection="1">
      <alignment horizontal="center" vertical="center" shrinkToFit="1"/>
    </xf>
    <xf numFmtId="4" fontId="16" fillId="0" borderId="30" xfId="0" applyNumberFormat="1" applyFont="1" applyFill="1" applyBorder="1" applyAlignment="1" applyProtection="1">
      <alignment horizontal="center" vertical="center" shrinkToFit="1"/>
    </xf>
    <xf numFmtId="4" fontId="16" fillId="0" borderId="48" xfId="0" applyNumberFormat="1" applyFont="1" applyFill="1" applyBorder="1" applyAlignment="1" applyProtection="1">
      <alignment horizontal="center" vertical="center" shrinkToFit="1"/>
    </xf>
    <xf numFmtId="4" fontId="16" fillId="0" borderId="75" xfId="0" applyNumberFormat="1" applyFont="1" applyFill="1" applyBorder="1" applyAlignment="1" applyProtection="1">
      <alignment horizontal="center" vertical="center" shrinkToFit="1"/>
    </xf>
    <xf numFmtId="4" fontId="16" fillId="0" borderId="21" xfId="0" applyNumberFormat="1" applyFont="1" applyFill="1" applyBorder="1" applyAlignment="1" applyProtection="1">
      <alignment horizontal="center" vertical="center" shrinkToFit="1"/>
    </xf>
    <xf numFmtId="4" fontId="16" fillId="0" borderId="18" xfId="0" applyNumberFormat="1" applyFont="1" applyFill="1" applyBorder="1" applyAlignment="1" applyProtection="1">
      <alignment horizontal="center" vertical="center" shrinkToFit="1"/>
    </xf>
    <xf numFmtId="4" fontId="16" fillId="0" borderId="19" xfId="0" applyNumberFormat="1" applyFont="1" applyFill="1" applyBorder="1" applyAlignment="1" applyProtection="1">
      <alignment horizontal="center" vertical="center" shrinkToFit="1"/>
    </xf>
    <xf numFmtId="4" fontId="16" fillId="0" borderId="24" xfId="0" applyNumberFormat="1" applyFont="1" applyFill="1" applyBorder="1" applyAlignment="1" applyProtection="1">
      <alignment horizontal="center" vertical="center" shrinkToFit="1"/>
    </xf>
    <xf numFmtId="4" fontId="16" fillId="0" borderId="25" xfId="0" applyNumberFormat="1" applyFont="1" applyFill="1" applyBorder="1" applyAlignment="1" applyProtection="1">
      <alignment horizontal="center" vertical="center" shrinkToFit="1"/>
    </xf>
    <xf numFmtId="4" fontId="16" fillId="0" borderId="26" xfId="0" applyNumberFormat="1" applyFont="1" applyFill="1" applyBorder="1" applyAlignment="1" applyProtection="1">
      <alignment horizontal="center" vertical="center" shrinkToFit="1"/>
    </xf>
    <xf numFmtId="4" fontId="17" fillId="0" borderId="94" xfId="0" applyNumberFormat="1" applyFont="1" applyFill="1" applyBorder="1" applyAlignment="1" applyProtection="1">
      <alignment horizontal="center" vertical="center" shrinkToFit="1"/>
    </xf>
    <xf numFmtId="4" fontId="17" fillId="0" borderId="16" xfId="0" applyNumberFormat="1" applyFont="1" applyFill="1" applyBorder="1" applyAlignment="1" applyProtection="1">
      <alignment horizontal="center" vertical="center" shrinkToFit="1"/>
    </xf>
    <xf numFmtId="4" fontId="16" fillId="0" borderId="78" xfId="0" applyNumberFormat="1" applyFont="1" applyFill="1" applyBorder="1" applyAlignment="1" applyProtection="1">
      <alignment horizontal="center" vertical="center" shrinkToFit="1"/>
    </xf>
    <xf numFmtId="4" fontId="17" fillId="0" borderId="15" xfId="0" applyNumberFormat="1" applyFont="1" applyFill="1" applyBorder="1" applyAlignment="1" applyProtection="1">
      <alignment horizontal="center" vertical="center" shrinkToFit="1"/>
    </xf>
    <xf numFmtId="4" fontId="16" fillId="0" borderId="83" xfId="0" applyNumberFormat="1" applyFont="1" applyFill="1" applyBorder="1" applyAlignment="1" applyProtection="1">
      <alignment horizontal="center" vertical="center" shrinkToFit="1"/>
    </xf>
    <xf numFmtId="4" fontId="16" fillId="0" borderId="29" xfId="0" applyNumberFormat="1" applyFont="1" applyFill="1" applyBorder="1" applyAlignment="1" applyProtection="1">
      <alignment horizontal="center" vertical="center" shrinkToFit="1"/>
    </xf>
    <xf numFmtId="4" fontId="16" fillId="0" borderId="88" xfId="0" applyNumberFormat="1" applyFont="1" applyFill="1" applyBorder="1" applyAlignment="1" applyProtection="1">
      <alignment horizontal="center" vertical="center" shrinkToFit="1"/>
    </xf>
    <xf numFmtId="4" fontId="17" fillId="14" borderId="95" xfId="0" applyNumberFormat="1" applyFont="1" applyFill="1" applyBorder="1" applyAlignment="1" applyProtection="1">
      <alignment horizontal="center" vertical="center" shrinkToFit="1"/>
    </xf>
    <xf numFmtId="4" fontId="17" fillId="14" borderId="17" xfId="0" applyNumberFormat="1" applyFont="1" applyFill="1" applyBorder="1" applyAlignment="1" applyProtection="1">
      <alignment horizontal="center" vertical="center" shrinkToFit="1"/>
    </xf>
    <xf numFmtId="0" fontId="25" fillId="0" borderId="0" xfId="1" applyFont="1"/>
    <xf numFmtId="4" fontId="25" fillId="0" borderId="83" xfId="16" applyNumberFormat="1" applyFont="1" applyFill="1" applyBorder="1" applyAlignment="1">
      <alignment vertical="center"/>
    </xf>
    <xf numFmtId="4" fontId="25" fillId="0" borderId="54" xfId="1" applyNumberFormat="1" applyFont="1" applyFill="1" applyBorder="1" applyAlignment="1">
      <alignment horizontal="center" vertical="center"/>
    </xf>
    <xf numFmtId="0" fontId="18" fillId="0" borderId="75" xfId="1" applyFont="1" applyFill="1" applyBorder="1" applyAlignment="1">
      <alignment horizontal="center" vertical="center"/>
    </xf>
    <xf numFmtId="0" fontId="24" fillId="0" borderId="33" xfId="1" applyFont="1" applyFill="1" applyBorder="1" applyAlignment="1">
      <alignment horizontal="center" vertical="center"/>
    </xf>
    <xf numFmtId="4" fontId="25" fillId="0" borderId="33" xfId="1" applyNumberFormat="1" applyFont="1" applyFill="1" applyBorder="1" applyAlignment="1">
      <alignment vertical="center" shrinkToFit="1"/>
    </xf>
    <xf numFmtId="0" fontId="18" fillId="0" borderId="88" xfId="20" applyFont="1" applyFill="1" applyBorder="1" applyAlignment="1">
      <alignment horizontal="left" vertical="center" indent="1"/>
    </xf>
    <xf numFmtId="0" fontId="24" fillId="0" borderId="173" xfId="1" applyFont="1" applyFill="1" applyBorder="1" applyAlignment="1">
      <alignment horizontal="center" vertical="center"/>
    </xf>
    <xf numFmtId="4" fontId="26" fillId="0" borderId="171" xfId="1" applyNumberFormat="1" applyFont="1" applyFill="1" applyBorder="1" applyAlignment="1">
      <alignment horizontal="center" vertical="center"/>
    </xf>
    <xf numFmtId="0" fontId="20" fillId="0" borderId="172" xfId="1" applyFont="1" applyFill="1" applyBorder="1" applyAlignment="1">
      <alignment horizontal="center" vertical="center"/>
    </xf>
    <xf numFmtId="0" fontId="26" fillId="0" borderId="173" xfId="1" applyFont="1" applyFill="1" applyBorder="1" applyAlignment="1">
      <alignment horizontal="center" vertical="center"/>
    </xf>
    <xf numFmtId="0" fontId="20" fillId="0" borderId="174" xfId="20" applyFont="1" applyFill="1" applyBorder="1" applyAlignment="1">
      <alignment horizontal="left" vertical="center" indent="1"/>
    </xf>
    <xf numFmtId="4" fontId="26" fillId="0" borderId="173" xfId="1" applyNumberFormat="1" applyFont="1" applyFill="1" applyBorder="1" applyAlignment="1">
      <alignment horizontal="center" vertical="center"/>
    </xf>
    <xf numFmtId="4" fontId="24" fillId="0" borderId="33" xfId="1" applyNumberFormat="1" applyFont="1" applyFill="1" applyBorder="1" applyAlignment="1">
      <alignment horizontal="center" vertical="center"/>
    </xf>
    <xf numFmtId="4" fontId="24" fillId="0" borderId="22" xfId="1" applyNumberFormat="1" applyFont="1" applyFill="1" applyBorder="1" applyAlignment="1">
      <alignment horizontal="center" vertical="center"/>
    </xf>
    <xf numFmtId="4" fontId="24" fillId="0" borderId="30" xfId="1" applyNumberFormat="1" applyFont="1" applyFill="1" applyBorder="1" applyAlignment="1">
      <alignment horizontal="center" vertical="center"/>
    </xf>
    <xf numFmtId="4" fontId="27" fillId="0" borderId="173" xfId="1" applyNumberFormat="1" applyFont="1" applyFill="1" applyBorder="1" applyAlignment="1">
      <alignment vertical="center" shrinkToFit="1"/>
    </xf>
    <xf numFmtId="0" fontId="26" fillId="0" borderId="22" xfId="1" applyFont="1" applyFill="1" applyBorder="1" applyAlignment="1">
      <alignment horizontal="center" vertical="center"/>
    </xf>
    <xf numFmtId="0" fontId="31" fillId="0" borderId="88" xfId="1" applyFont="1" applyFill="1" applyBorder="1" applyAlignment="1">
      <alignment vertical="center" shrinkToFit="1"/>
    </xf>
    <xf numFmtId="0" fontId="24" fillId="0" borderId="68" xfId="1" applyFont="1" applyFill="1" applyBorder="1" applyAlignment="1">
      <alignment horizontal="left" vertical="center" indent="1" shrinkToFit="1"/>
    </xf>
    <xf numFmtId="4" fontId="24" fillId="8" borderId="54" xfId="1" applyNumberFormat="1" applyFont="1" applyFill="1" applyBorder="1" applyAlignment="1">
      <alignment horizontal="center" vertical="top"/>
    </xf>
    <xf numFmtId="0" fontId="18" fillId="8" borderId="73" xfId="1" applyFont="1" applyFill="1" applyBorder="1" applyAlignment="1">
      <alignment horizontal="center" vertical="top"/>
    </xf>
    <xf numFmtId="0" fontId="24" fillId="8" borderId="54" xfId="1" applyFont="1" applyFill="1" applyBorder="1" applyAlignment="1">
      <alignment horizontal="center" vertical="top"/>
    </xf>
    <xf numFmtId="3" fontId="24" fillId="8" borderId="54" xfId="1" applyNumberFormat="1" applyFont="1" applyFill="1" applyBorder="1" applyAlignment="1">
      <alignment horizontal="center" vertical="top"/>
    </xf>
    <xf numFmtId="0" fontId="31" fillId="0" borderId="33" xfId="1" applyFont="1" applyFill="1" applyBorder="1" applyAlignment="1">
      <alignment horizontal="center" vertical="center"/>
    </xf>
    <xf numFmtId="0" fontId="18" fillId="0" borderId="33" xfId="1" applyFont="1" applyFill="1" applyBorder="1" applyAlignment="1">
      <alignment horizontal="center"/>
    </xf>
    <xf numFmtId="0" fontId="24" fillId="0" borderId="33" xfId="1" applyFont="1" applyFill="1" applyBorder="1" applyAlignment="1">
      <alignment horizontal="right" indent="1"/>
    </xf>
    <xf numFmtId="0" fontId="20" fillId="0" borderId="173" xfId="1" applyFont="1" applyFill="1" applyBorder="1" applyAlignment="1">
      <alignment horizontal="center"/>
    </xf>
    <xf numFmtId="0" fontId="26" fillId="0" borderId="173" xfId="1" applyFont="1" applyFill="1" applyBorder="1" applyAlignment="1">
      <alignment horizontal="right" indent="1"/>
    </xf>
    <xf numFmtId="4" fontId="17" fillId="0" borderId="173" xfId="2" applyNumberFormat="1" applyFont="1" applyFill="1" applyBorder="1" applyAlignment="1">
      <alignment vertical="center" shrinkToFit="1"/>
    </xf>
    <xf numFmtId="4" fontId="17" fillId="0" borderId="174" xfId="2" applyNumberFormat="1" applyFont="1" applyFill="1" applyBorder="1" applyAlignment="1">
      <alignment vertical="center" shrinkToFit="1"/>
    </xf>
    <xf numFmtId="0" fontId="63" fillId="0" borderId="171" xfId="1" applyFont="1" applyFill="1" applyBorder="1" applyAlignment="1">
      <alignment horizontal="center" vertical="center"/>
    </xf>
    <xf numFmtId="0" fontId="41" fillId="0" borderId="173" xfId="1" applyFont="1" applyFill="1" applyBorder="1" applyAlignment="1">
      <alignment horizontal="center"/>
    </xf>
    <xf numFmtId="0" fontId="63" fillId="0" borderId="173" xfId="1" applyFont="1" applyFill="1" applyBorder="1" applyAlignment="1">
      <alignment horizontal="center" vertical="center"/>
    </xf>
    <xf numFmtId="0" fontId="63" fillId="0" borderId="173" xfId="1" applyFont="1" applyFill="1" applyBorder="1" applyAlignment="1">
      <alignment horizontal="right" indent="1"/>
    </xf>
    <xf numFmtId="4" fontId="41" fillId="0" borderId="173" xfId="2" applyNumberFormat="1" applyFont="1" applyFill="1" applyBorder="1" applyAlignment="1">
      <alignment vertical="center" shrinkToFit="1"/>
    </xf>
    <xf numFmtId="0" fontId="31" fillId="0" borderId="83" xfId="1" applyFont="1" applyFill="1" applyBorder="1" applyAlignment="1">
      <alignment vertical="center" shrinkToFit="1"/>
    </xf>
    <xf numFmtId="0" fontId="24" fillId="0" borderId="30" xfId="1" applyFont="1" applyFill="1" applyBorder="1" applyAlignment="1">
      <alignment horizontal="right" indent="1"/>
    </xf>
    <xf numFmtId="4" fontId="16" fillId="0" borderId="33" xfId="2" applyNumberFormat="1" applyFont="1" applyFill="1" applyBorder="1" applyAlignment="1">
      <alignment vertical="center" shrinkToFit="1"/>
    </xf>
    <xf numFmtId="0" fontId="26" fillId="0" borderId="171" xfId="1" applyFont="1" applyFill="1" applyBorder="1" applyAlignment="1">
      <alignment horizontal="center" vertical="center"/>
    </xf>
    <xf numFmtId="4" fontId="20" fillId="0" borderId="173" xfId="2" applyNumberFormat="1" applyFont="1" applyFill="1" applyBorder="1" applyAlignment="1">
      <alignment vertical="center" shrinkToFit="1"/>
    </xf>
    <xf numFmtId="4" fontId="16" fillId="0" borderId="22" xfId="2" applyNumberFormat="1" applyFont="1" applyFill="1" applyBorder="1" applyAlignment="1">
      <alignment horizontal="center" vertical="center" shrinkToFit="1"/>
    </xf>
    <xf numFmtId="4" fontId="25" fillId="0" borderId="22" xfId="1" applyNumberFormat="1" applyFont="1" applyFill="1" applyBorder="1" applyAlignment="1">
      <alignment horizontal="center" vertical="center" shrinkToFit="1"/>
    </xf>
    <xf numFmtId="4" fontId="46" fillId="0" borderId="22" xfId="2" applyNumberFormat="1" applyFont="1" applyFill="1" applyBorder="1" applyAlignment="1">
      <alignment horizontal="center" vertical="center" shrinkToFit="1"/>
    </xf>
    <xf numFmtId="4" fontId="24" fillId="0" borderId="0" xfId="1" applyNumberFormat="1" applyFont="1" applyFill="1" applyBorder="1" applyAlignment="1">
      <alignment vertical="center"/>
    </xf>
    <xf numFmtId="4" fontId="16" fillId="0" borderId="87" xfId="2" applyNumberFormat="1" applyFont="1" applyFill="1" applyBorder="1" applyAlignment="1">
      <alignment horizontal="right" vertical="center" shrinkToFit="1"/>
    </xf>
    <xf numFmtId="4" fontId="26" fillId="0" borderId="175" xfId="1" applyNumberFormat="1" applyFont="1" applyFill="1" applyBorder="1" applyAlignment="1">
      <alignment horizontal="center" vertical="center"/>
    </xf>
    <xf numFmtId="4" fontId="25" fillId="0" borderId="88" xfId="1" applyNumberFormat="1" applyFont="1" applyFill="1" applyBorder="1" applyAlignment="1">
      <alignment vertical="center" shrinkToFit="1"/>
    </xf>
    <xf numFmtId="4" fontId="25" fillId="0" borderId="83" xfId="1" applyNumberFormat="1" applyFont="1" applyFill="1" applyBorder="1" applyAlignment="1">
      <alignment vertical="center" shrinkToFit="1"/>
    </xf>
    <xf numFmtId="4" fontId="25" fillId="0" borderId="87" xfId="1" applyNumberFormat="1" applyFont="1" applyFill="1" applyBorder="1" applyAlignment="1">
      <alignment vertical="center" shrinkToFit="1"/>
    </xf>
    <xf numFmtId="4" fontId="26" fillId="0" borderId="175" xfId="1" applyNumberFormat="1" applyFont="1" applyFill="1" applyBorder="1" applyAlignment="1">
      <alignment vertical="center" shrinkToFit="1"/>
    </xf>
    <xf numFmtId="4" fontId="25" fillId="0" borderId="83" xfId="16" applyNumberFormat="1" applyFont="1" applyFill="1" applyBorder="1" applyAlignment="1">
      <alignment vertical="center" shrinkToFit="1"/>
    </xf>
    <xf numFmtId="4" fontId="25" fillId="0" borderId="71" xfId="1" applyNumberFormat="1" applyFont="1" applyFill="1" applyBorder="1" applyAlignment="1">
      <alignment vertical="center" shrinkToFit="1"/>
    </xf>
    <xf numFmtId="4" fontId="25" fillId="0" borderId="75" xfId="1" applyNumberFormat="1" applyFont="1" applyFill="1" applyBorder="1" applyAlignment="1">
      <alignment vertical="center" shrinkToFit="1"/>
    </xf>
    <xf numFmtId="4" fontId="25" fillId="0" borderId="72" xfId="1" applyNumberFormat="1" applyFont="1" applyFill="1" applyBorder="1" applyAlignment="1">
      <alignment vertical="center" shrinkToFit="1"/>
    </xf>
    <xf numFmtId="4" fontId="25" fillId="0" borderId="72" xfId="16" applyNumberFormat="1" applyFont="1" applyFill="1" applyBorder="1" applyAlignment="1">
      <alignment vertical="center" shrinkToFit="1"/>
    </xf>
    <xf numFmtId="3" fontId="24" fillId="17" borderId="54" xfId="1" applyNumberFormat="1" applyFont="1" applyFill="1" applyBorder="1" applyAlignment="1">
      <alignment horizontal="center" vertical="top"/>
    </xf>
    <xf numFmtId="4" fontId="16" fillId="0" borderId="176" xfId="2" applyNumberFormat="1" applyFont="1" applyFill="1" applyBorder="1" applyAlignment="1">
      <alignment horizontal="right" vertical="center" shrinkToFit="1"/>
    </xf>
    <xf numFmtId="4" fontId="25" fillId="0" borderId="177" xfId="1" applyNumberFormat="1" applyFont="1" applyFill="1" applyBorder="1" applyAlignment="1">
      <alignment vertical="center" shrinkToFit="1"/>
    </xf>
    <xf numFmtId="4" fontId="25" fillId="0" borderId="178" xfId="1" applyNumberFormat="1" applyFont="1" applyFill="1" applyBorder="1" applyAlignment="1">
      <alignment vertical="center" shrinkToFit="1"/>
    </xf>
    <xf numFmtId="4" fontId="25" fillId="0" borderId="179" xfId="1" applyNumberFormat="1" applyFont="1" applyFill="1" applyBorder="1" applyAlignment="1">
      <alignment vertical="center" shrinkToFit="1"/>
    </xf>
    <xf numFmtId="4" fontId="25" fillId="0" borderId="178" xfId="16" applyNumberFormat="1" applyFont="1" applyFill="1" applyBorder="1" applyAlignment="1">
      <alignment vertical="center" shrinkToFit="1"/>
    </xf>
    <xf numFmtId="4" fontId="24" fillId="0" borderId="83" xfId="1" applyNumberFormat="1" applyFont="1" applyFill="1" applyBorder="1" applyAlignment="1">
      <alignment horizontal="center" vertical="center"/>
    </xf>
    <xf numFmtId="4" fontId="24" fillId="0" borderId="87" xfId="1" applyNumberFormat="1" applyFont="1" applyFill="1" applyBorder="1" applyAlignment="1">
      <alignment horizontal="center" vertical="center"/>
    </xf>
    <xf numFmtId="0" fontId="20" fillId="0" borderId="68" xfId="20" applyFont="1" applyFill="1" applyBorder="1" applyAlignment="1">
      <alignment horizontal="left" vertical="center" indent="1"/>
    </xf>
    <xf numFmtId="0" fontId="20" fillId="0" borderId="69" xfId="20" applyFont="1" applyFill="1" applyBorder="1" applyAlignment="1">
      <alignment horizontal="left" vertical="center" indent="1"/>
    </xf>
    <xf numFmtId="4" fontId="26" fillId="0" borderId="181" xfId="16" applyNumberFormat="1" applyFont="1" applyFill="1" applyBorder="1" applyAlignment="1">
      <alignment vertical="center" shrinkToFit="1"/>
    </xf>
    <xf numFmtId="4" fontId="26" fillId="0" borderId="98" xfId="16" applyNumberFormat="1" applyFont="1" applyFill="1" applyBorder="1" applyAlignment="1">
      <alignment vertical="center" shrinkToFit="1"/>
    </xf>
    <xf numFmtId="4" fontId="26" fillId="0" borderId="182" xfId="16" applyNumberFormat="1" applyFont="1" applyFill="1" applyBorder="1" applyAlignment="1">
      <alignment vertical="center" shrinkToFit="1"/>
    </xf>
    <xf numFmtId="4" fontId="26" fillId="0" borderId="183" xfId="16" applyNumberFormat="1" applyFont="1" applyFill="1" applyBorder="1" applyAlignment="1">
      <alignment vertical="center" shrinkToFit="1"/>
    </xf>
    <xf numFmtId="4" fontId="83" fillId="0" borderId="184" xfId="1" applyNumberFormat="1" applyFont="1" applyBorder="1"/>
    <xf numFmtId="4" fontId="83" fillId="0" borderId="185" xfId="1" applyNumberFormat="1" applyFont="1" applyBorder="1"/>
    <xf numFmtId="4" fontId="83" fillId="0" borderId="186" xfId="1" applyNumberFormat="1" applyFont="1" applyBorder="1"/>
    <xf numFmtId="0" fontId="18" fillId="0" borderId="83" xfId="1" applyFont="1" applyFill="1" applyBorder="1" applyAlignment="1">
      <alignment horizontal="center"/>
    </xf>
    <xf numFmtId="169" fontId="16" fillId="0" borderId="83" xfId="2" applyNumberFormat="1" applyFont="1" applyFill="1" applyBorder="1" applyAlignment="1">
      <alignment horizontal="center" vertical="center" wrapText="1"/>
    </xf>
    <xf numFmtId="0" fontId="18" fillId="0" borderId="171" xfId="1" applyFont="1" applyFill="1" applyBorder="1" applyAlignment="1">
      <alignment horizontal="center"/>
    </xf>
    <xf numFmtId="0" fontId="24" fillId="0" borderId="174" xfId="1" applyFont="1" applyFill="1" applyBorder="1" applyAlignment="1">
      <alignment horizontal="center" vertical="center"/>
    </xf>
    <xf numFmtId="3" fontId="24" fillId="8" borderId="88" xfId="1" applyNumberFormat="1" applyFont="1" applyFill="1" applyBorder="1" applyAlignment="1">
      <alignment horizontal="center" vertical="top"/>
    </xf>
    <xf numFmtId="4" fontId="17" fillId="0" borderId="68" xfId="2" applyNumberFormat="1" applyFont="1" applyFill="1" applyBorder="1" applyAlignment="1">
      <alignment horizontal="center" vertical="center" shrinkToFit="1"/>
    </xf>
    <xf numFmtId="4" fontId="16" fillId="0" borderId="83" xfId="2" applyNumberFormat="1" applyFont="1" applyFill="1" applyBorder="1" applyAlignment="1">
      <alignment vertical="center" shrinkToFit="1"/>
    </xf>
    <xf numFmtId="4" fontId="16" fillId="0" borderId="87" xfId="2" applyNumberFormat="1" applyFont="1" applyFill="1" applyBorder="1" applyAlignment="1">
      <alignment vertical="center" shrinkToFit="1"/>
    </xf>
    <xf numFmtId="4" fontId="17" fillId="0" borderId="175" xfId="2" applyNumberFormat="1" applyFont="1" applyFill="1" applyBorder="1" applyAlignment="1">
      <alignment horizontal="center" vertical="center" shrinkToFit="1"/>
    </xf>
    <xf numFmtId="4" fontId="16" fillId="0" borderId="88" xfId="2" applyNumberFormat="1" applyFont="1" applyFill="1" applyBorder="1" applyAlignment="1">
      <alignment vertical="center" shrinkToFit="1"/>
    </xf>
    <xf numFmtId="4" fontId="61" fillId="0" borderId="83" xfId="2" applyNumberFormat="1" applyFont="1" applyFill="1" applyBorder="1" applyAlignment="1">
      <alignment vertical="center" shrinkToFit="1"/>
    </xf>
    <xf numFmtId="4" fontId="79" fillId="0" borderId="83" xfId="2" applyNumberFormat="1" applyFont="1" applyFill="1" applyBorder="1" applyAlignment="1">
      <alignment vertical="center" shrinkToFit="1"/>
    </xf>
    <xf numFmtId="4" fontId="76" fillId="0" borderId="83" xfId="2" applyNumberFormat="1" applyFont="1" applyFill="1" applyBorder="1" applyAlignment="1">
      <alignment vertical="center" shrinkToFit="1"/>
    </xf>
    <xf numFmtId="3" fontId="24" fillId="8" borderId="187" xfId="1" applyNumberFormat="1" applyFont="1" applyFill="1" applyBorder="1" applyAlignment="1">
      <alignment horizontal="center" vertical="top"/>
    </xf>
    <xf numFmtId="4" fontId="16" fillId="0" borderId="178" xfId="2" applyNumberFormat="1" applyFont="1" applyFill="1" applyBorder="1" applyAlignment="1">
      <alignment vertical="center" shrinkToFit="1"/>
    </xf>
    <xf numFmtId="4" fontId="16" fillId="0" borderId="179" xfId="2" applyNumberFormat="1" applyFont="1" applyFill="1" applyBorder="1" applyAlignment="1">
      <alignment vertical="center" shrinkToFit="1"/>
    </xf>
    <xf numFmtId="4" fontId="17" fillId="0" borderId="170" xfId="2" applyNumberFormat="1" applyFont="1" applyFill="1" applyBorder="1" applyAlignment="1">
      <alignment horizontal="center" vertical="center" shrinkToFit="1"/>
    </xf>
    <xf numFmtId="4" fontId="16" fillId="0" borderId="177" xfId="2" applyNumberFormat="1" applyFont="1" applyFill="1" applyBorder="1" applyAlignment="1">
      <alignment vertical="center" shrinkToFit="1"/>
    </xf>
    <xf numFmtId="4" fontId="79" fillId="0" borderId="178" xfId="2" applyNumberFormat="1" applyFont="1" applyFill="1" applyBorder="1" applyAlignment="1">
      <alignment vertical="center" shrinkToFit="1"/>
    </xf>
    <xf numFmtId="4" fontId="76" fillId="0" borderId="178" xfId="2" applyNumberFormat="1" applyFont="1" applyFill="1" applyBorder="1" applyAlignment="1">
      <alignment vertical="center" shrinkToFit="1"/>
    </xf>
    <xf numFmtId="4" fontId="16" fillId="0" borderId="180" xfId="2" applyNumberFormat="1" applyFont="1" applyFill="1" applyBorder="1" applyAlignment="1">
      <alignment vertical="center" shrinkToFit="1"/>
    </xf>
    <xf numFmtId="4" fontId="17" fillId="0" borderId="83" xfId="2" applyNumberFormat="1" applyFont="1" applyFill="1" applyBorder="1" applyAlignment="1">
      <alignment vertical="center" shrinkToFit="1"/>
    </xf>
    <xf numFmtId="169" fontId="16" fillId="0" borderId="83" xfId="15" applyNumberFormat="1" applyFont="1" applyFill="1" applyBorder="1" applyAlignment="1">
      <alignment vertical="center" shrinkToFit="1"/>
    </xf>
    <xf numFmtId="169" fontId="16" fillId="0" borderId="33" xfId="2" applyNumberFormat="1" applyFont="1" applyFill="1" applyBorder="1" applyAlignment="1">
      <alignment horizontal="center" vertical="center" wrapText="1"/>
    </xf>
    <xf numFmtId="169" fontId="17" fillId="0" borderId="188" xfId="2" applyNumberFormat="1" applyFont="1" applyFill="1" applyBorder="1" applyAlignment="1">
      <alignment horizontal="center" vertical="center" wrapText="1"/>
    </xf>
    <xf numFmtId="0" fontId="20" fillId="0" borderId="189" xfId="1" applyFont="1" applyFill="1" applyBorder="1" applyAlignment="1">
      <alignment horizontal="center"/>
    </xf>
    <xf numFmtId="0" fontId="26" fillId="0" borderId="189" xfId="1" applyFont="1" applyFill="1" applyBorder="1" applyAlignment="1">
      <alignment horizontal="center" vertical="center"/>
    </xf>
    <xf numFmtId="4" fontId="17" fillId="0" borderId="190" xfId="2" applyNumberFormat="1" applyFont="1" applyFill="1" applyBorder="1" applyAlignment="1">
      <alignment vertical="center" shrinkToFit="1"/>
    </xf>
    <xf numFmtId="4" fontId="17" fillId="0" borderId="187" xfId="2" applyNumberFormat="1" applyFont="1" applyFill="1" applyBorder="1" applyAlignment="1">
      <alignment vertical="center" shrinkToFit="1"/>
    </xf>
    <xf numFmtId="169" fontId="17" fillId="0" borderId="137" xfId="2" applyNumberFormat="1" applyFont="1" applyFill="1" applyBorder="1" applyAlignment="1">
      <alignment horizontal="center" vertical="center" wrapText="1"/>
    </xf>
    <xf numFmtId="169" fontId="17" fillId="0" borderId="191" xfId="2" applyNumberFormat="1" applyFont="1" applyFill="1" applyBorder="1" applyAlignment="1">
      <alignment horizontal="center" vertical="center" wrapText="1"/>
    </xf>
    <xf numFmtId="0" fontId="20" fillId="0" borderId="192" xfId="1" applyFont="1" applyFill="1" applyBorder="1" applyAlignment="1">
      <alignment horizontal="center"/>
    </xf>
    <xf numFmtId="0" fontId="26" fillId="0" borderId="192" xfId="1" applyFont="1" applyFill="1" applyBorder="1" applyAlignment="1">
      <alignment horizontal="center" vertical="center"/>
    </xf>
    <xf numFmtId="4" fontId="17" fillId="0" borderId="193" xfId="2" applyNumberFormat="1" applyFont="1" applyFill="1" applyBorder="1" applyAlignment="1">
      <alignment vertical="center" shrinkToFit="1"/>
    </xf>
    <xf numFmtId="0" fontId="17" fillId="0" borderId="189" xfId="1" applyFont="1" applyFill="1" applyBorder="1" applyAlignment="1">
      <alignment horizontal="center"/>
    </xf>
    <xf numFmtId="0" fontId="27" fillId="0" borderId="189" xfId="1" applyFont="1" applyFill="1" applyBorder="1" applyAlignment="1">
      <alignment horizontal="center" vertical="center"/>
    </xf>
    <xf numFmtId="0" fontId="17" fillId="0" borderId="22" xfId="1" applyFont="1" applyFill="1" applyBorder="1" applyAlignment="1">
      <alignment horizontal="center"/>
    </xf>
    <xf numFmtId="0" fontId="27" fillId="0" borderId="22" xfId="1" applyFont="1" applyFill="1" applyBorder="1" applyAlignment="1">
      <alignment horizontal="center" vertical="center"/>
    </xf>
    <xf numFmtId="0" fontId="17" fillId="0" borderId="192" xfId="1" applyFont="1" applyFill="1" applyBorder="1" applyAlignment="1">
      <alignment horizontal="center"/>
    </xf>
    <xf numFmtId="0" fontId="27" fillId="0" borderId="192" xfId="1" applyFont="1" applyFill="1" applyBorder="1" applyAlignment="1">
      <alignment horizontal="center" vertical="center"/>
    </xf>
    <xf numFmtId="4" fontId="16" fillId="0" borderId="194" xfId="2" applyNumberFormat="1" applyFont="1" applyFill="1" applyBorder="1" applyAlignment="1">
      <alignment vertical="center" shrinkToFit="1"/>
    </xf>
    <xf numFmtId="4" fontId="25" fillId="0" borderId="194" xfId="1" applyNumberFormat="1" applyFont="1" applyFill="1" applyBorder="1" applyAlignment="1">
      <alignment vertical="center" shrinkToFit="1"/>
    </xf>
    <xf numFmtId="4" fontId="16" fillId="0" borderId="143" xfId="2" applyNumberFormat="1" applyFont="1" applyFill="1" applyBorder="1" applyAlignment="1">
      <alignment vertical="center" shrinkToFit="1"/>
    </xf>
    <xf numFmtId="4" fontId="17" fillId="0" borderId="184" xfId="2" applyNumberFormat="1" applyFont="1" applyFill="1" applyBorder="1" applyAlignment="1">
      <alignment horizontal="center" vertical="center" shrinkToFit="1"/>
    </xf>
    <xf numFmtId="4" fontId="16" fillId="0" borderId="144" xfId="2" applyNumberFormat="1" applyFont="1" applyFill="1" applyBorder="1" applyAlignment="1">
      <alignment vertical="center" shrinkToFit="1"/>
    </xf>
    <xf numFmtId="4" fontId="79" fillId="0" borderId="194" xfId="2" applyNumberFormat="1" applyFont="1" applyFill="1" applyBorder="1" applyAlignment="1">
      <alignment vertical="center" shrinkToFit="1"/>
    </xf>
    <xf numFmtId="4" fontId="25" fillId="0" borderId="144" xfId="1" applyNumberFormat="1" applyFont="1" applyFill="1" applyBorder="1" applyAlignment="1">
      <alignment vertical="center" shrinkToFit="1"/>
    </xf>
    <xf numFmtId="4" fontId="76" fillId="0" borderId="194" xfId="2" applyNumberFormat="1" applyFont="1" applyFill="1" applyBorder="1" applyAlignment="1">
      <alignment vertical="center" shrinkToFit="1"/>
    </xf>
    <xf numFmtId="4" fontId="16" fillId="0" borderId="195" xfId="2" applyNumberFormat="1" applyFont="1" applyFill="1" applyBorder="1" applyAlignment="1">
      <alignment vertical="center" shrinkToFit="1"/>
    </xf>
    <xf numFmtId="0" fontId="81" fillId="0" borderId="68" xfId="1" applyFont="1" applyFill="1" applyBorder="1" applyAlignment="1">
      <alignment horizontal="left" vertical="center" indent="1" shrinkToFit="1"/>
    </xf>
    <xf numFmtId="0" fontId="78" fillId="0" borderId="68" xfId="1" applyFont="1" applyFill="1" applyBorder="1" applyAlignment="1">
      <alignment horizontal="left" vertical="center" indent="1" shrinkToFit="1"/>
    </xf>
    <xf numFmtId="0" fontId="24" fillId="0" borderId="27" xfId="1" applyFont="1" applyFill="1" applyBorder="1" applyAlignment="1">
      <alignment horizontal="left" vertical="center" indent="1" shrinkToFit="1"/>
    </xf>
    <xf numFmtId="0" fontId="24" fillId="0" borderId="69" xfId="1" applyFont="1" applyFill="1" applyBorder="1" applyAlignment="1">
      <alignment horizontal="left" vertical="center" indent="1" shrinkToFit="1"/>
    </xf>
    <xf numFmtId="3" fontId="24" fillId="8" borderId="73" xfId="1" applyNumberFormat="1" applyFont="1" applyFill="1" applyBorder="1" applyAlignment="1">
      <alignment horizontal="center" vertical="top"/>
    </xf>
    <xf numFmtId="4" fontId="17" fillId="0" borderId="187" xfId="2" applyNumberFormat="1" applyFont="1" applyFill="1" applyBorder="1" applyAlignment="1">
      <alignment horizontal="center" vertical="center" shrinkToFit="1"/>
    </xf>
    <xf numFmtId="4" fontId="17" fillId="0" borderId="196" xfId="2" applyNumberFormat="1" applyFont="1" applyFill="1" applyBorder="1" applyAlignment="1">
      <alignment vertical="center" shrinkToFit="1"/>
    </xf>
    <xf numFmtId="4" fontId="27" fillId="0" borderId="83" xfId="1" applyNumberFormat="1" applyFont="1" applyFill="1" applyBorder="1" applyAlignment="1">
      <alignment vertical="center" shrinkToFit="1"/>
    </xf>
    <xf numFmtId="4" fontId="16" fillId="0" borderId="0" xfId="2" applyNumberFormat="1" applyFont="1" applyFill="1" applyBorder="1" applyAlignment="1">
      <alignment horizontal="center" wrapText="1"/>
    </xf>
    <xf numFmtId="4" fontId="20" fillId="0" borderId="197" xfId="2" applyNumberFormat="1" applyFont="1" applyFill="1" applyBorder="1" applyAlignment="1">
      <alignment horizontal="center" wrapText="1"/>
    </xf>
    <xf numFmtId="4" fontId="20" fillId="0" borderId="198" xfId="2" applyNumberFormat="1" applyFont="1" applyFill="1" applyBorder="1" applyAlignment="1">
      <alignment horizontal="center" wrapText="1"/>
    </xf>
    <xf numFmtId="4" fontId="20" fillId="0" borderId="199" xfId="2" applyNumberFormat="1" applyFont="1" applyFill="1" applyBorder="1" applyAlignment="1">
      <alignment horizontal="center" wrapText="1"/>
    </xf>
    <xf numFmtId="3" fontId="84" fillId="0" borderId="170" xfId="2" applyNumberFormat="1" applyFont="1" applyFill="1" applyBorder="1" applyAlignment="1">
      <alignment horizontal="center" wrapText="1"/>
    </xf>
    <xf numFmtId="0" fontId="26" fillId="0" borderId="200" xfId="1" applyFont="1" applyFill="1" applyBorder="1" applyAlignment="1">
      <alignment horizontal="center" vertical="center"/>
    </xf>
    <xf numFmtId="0" fontId="26" fillId="0" borderId="201" xfId="1" applyFont="1" applyFill="1" applyBorder="1" applyAlignment="1">
      <alignment horizontal="center" vertical="center"/>
    </xf>
    <xf numFmtId="0" fontId="26" fillId="0" borderId="202" xfId="1" applyFont="1" applyFill="1" applyBorder="1" applyAlignment="1">
      <alignment horizontal="center" vertical="center"/>
    </xf>
    <xf numFmtId="4" fontId="27" fillId="0" borderId="75" xfId="1" applyNumberFormat="1" applyFont="1" applyFill="1" applyBorder="1" applyAlignment="1">
      <alignment vertical="center" shrinkToFit="1"/>
    </xf>
    <xf numFmtId="0" fontId="24" fillId="8" borderId="30" xfId="1" applyFont="1" applyFill="1" applyBorder="1" applyAlignment="1">
      <alignment horizontal="center" vertical="top"/>
    </xf>
    <xf numFmtId="3" fontId="24" fillId="8" borderId="30" xfId="1" applyNumberFormat="1" applyFont="1" applyFill="1" applyBorder="1" applyAlignment="1">
      <alignment horizontal="center" vertical="top"/>
    </xf>
    <xf numFmtId="0" fontId="24" fillId="0" borderId="54" xfId="1" applyFont="1" applyFill="1" applyBorder="1" applyAlignment="1">
      <alignment horizontal="center" vertical="center"/>
    </xf>
    <xf numFmtId="4" fontId="16" fillId="0" borderId="54" xfId="2" applyNumberFormat="1" applyFont="1" applyFill="1" applyBorder="1" applyAlignment="1">
      <alignment vertical="center" shrinkToFit="1"/>
    </xf>
    <xf numFmtId="0" fontId="24" fillId="0" borderId="46" xfId="1" applyFont="1" applyFill="1" applyBorder="1" applyAlignment="1">
      <alignment horizontal="left" vertical="center" indent="1" shrinkToFit="1"/>
    </xf>
    <xf numFmtId="0" fontId="24" fillId="0" borderId="48" xfId="1" applyFont="1" applyFill="1" applyBorder="1" applyAlignment="1">
      <alignment horizontal="left" vertical="center" indent="1" shrinkToFit="1"/>
    </xf>
    <xf numFmtId="0" fontId="26" fillId="0" borderId="174" xfId="1" applyFont="1" applyFill="1" applyBorder="1" applyAlignment="1">
      <alignment horizontal="left" vertical="center" indent="1" shrinkToFit="1"/>
    </xf>
    <xf numFmtId="49" fontId="16" fillId="0" borderId="36" xfId="0" applyNumberFormat="1" applyFont="1" applyFill="1" applyBorder="1" applyAlignment="1">
      <alignment horizontal="left" vertical="center" wrapText="1" indent="1"/>
    </xf>
    <xf numFmtId="49" fontId="16" fillId="0" borderId="31" xfId="0" applyNumberFormat="1" applyFont="1" applyFill="1" applyBorder="1" applyAlignment="1">
      <alignment horizontal="left" vertical="center" wrapText="1" indent="1"/>
    </xf>
    <xf numFmtId="0" fontId="85" fillId="0" borderId="30" xfId="0" applyNumberFormat="1" applyFont="1" applyFill="1" applyBorder="1" applyAlignment="1" applyProtection="1">
      <alignment vertical="center" shrinkToFit="1"/>
    </xf>
    <xf numFmtId="0" fontId="85" fillId="0" borderId="30" xfId="0" applyNumberFormat="1" applyFont="1" applyFill="1" applyBorder="1" applyAlignment="1" applyProtection="1">
      <alignment horizontal="center" vertical="center"/>
    </xf>
    <xf numFmtId="0" fontId="86" fillId="0" borderId="30" xfId="0" applyNumberFormat="1" applyFont="1" applyFill="1" applyBorder="1" applyAlignment="1" applyProtection="1">
      <alignment horizontal="center"/>
    </xf>
    <xf numFmtId="0" fontId="87" fillId="0" borderId="30" xfId="0" applyNumberFormat="1" applyFont="1" applyFill="1" applyBorder="1" applyAlignment="1" applyProtection="1">
      <alignment horizontal="center" vertical="center"/>
    </xf>
    <xf numFmtId="0" fontId="87" fillId="0" borderId="30" xfId="0" applyNumberFormat="1" applyFont="1" applyFill="1" applyBorder="1" applyAlignment="1" applyProtection="1">
      <alignment horizontal="right" indent="1"/>
    </xf>
    <xf numFmtId="4" fontId="88" fillId="0" borderId="30" xfId="0" applyNumberFormat="1" applyFont="1" applyFill="1" applyBorder="1" applyAlignment="1" applyProtection="1">
      <alignment vertical="center" shrinkToFit="1"/>
    </xf>
    <xf numFmtId="0" fontId="87" fillId="0" borderId="87" xfId="0" applyNumberFormat="1" applyFont="1" applyFill="1" applyBorder="1" applyAlignment="1" applyProtection="1">
      <alignment horizontal="left" vertical="center" indent="1" shrinkToFit="1"/>
    </xf>
    <xf numFmtId="4" fontId="17" fillId="0" borderId="175" xfId="2" applyNumberFormat="1" applyFont="1" applyFill="1" applyBorder="1" applyAlignment="1">
      <alignment vertical="center" shrinkToFit="1"/>
    </xf>
    <xf numFmtId="4" fontId="17" fillId="0" borderId="170" xfId="2" applyNumberFormat="1" applyFont="1" applyFill="1" applyBorder="1" applyAlignment="1">
      <alignment vertical="center" shrinkToFit="1"/>
    </xf>
    <xf numFmtId="0" fontId="24" fillId="0" borderId="88" xfId="1" applyFont="1" applyFill="1" applyBorder="1" applyAlignment="1">
      <alignment horizontal="center" vertical="center"/>
    </xf>
    <xf numFmtId="0" fontId="24" fillId="0" borderId="83" xfId="1" applyFont="1" applyFill="1" applyBorder="1" applyAlignment="1">
      <alignment horizontal="center" vertical="center"/>
    </xf>
    <xf numFmtId="4" fontId="25" fillId="0" borderId="143" xfId="1" applyNumberFormat="1" applyFont="1" applyFill="1" applyBorder="1" applyAlignment="1">
      <alignment vertical="center" shrinkToFit="1"/>
    </xf>
    <xf numFmtId="4" fontId="27" fillId="0" borderId="175" xfId="1" applyNumberFormat="1" applyFont="1" applyFill="1" applyBorder="1" applyAlignment="1">
      <alignment vertical="center" shrinkToFit="1"/>
    </xf>
    <xf numFmtId="0" fontId="26" fillId="0" borderId="83" xfId="1" applyFont="1" applyFill="1" applyBorder="1" applyAlignment="1">
      <alignment horizontal="center" vertical="center"/>
    </xf>
    <xf numFmtId="0" fontId="26" fillId="0" borderId="33" xfId="1" applyFont="1" applyFill="1" applyBorder="1" applyAlignment="1">
      <alignment horizontal="center" vertical="center"/>
    </xf>
    <xf numFmtId="4" fontId="27" fillId="0" borderId="68" xfId="1" applyNumberFormat="1" applyFont="1" applyFill="1" applyBorder="1" applyAlignment="1">
      <alignment vertical="center" shrinkToFit="1"/>
    </xf>
    <xf numFmtId="0" fontId="26" fillId="0" borderId="30" xfId="1" applyFont="1" applyFill="1" applyBorder="1" applyAlignment="1">
      <alignment horizontal="center" vertical="center"/>
    </xf>
    <xf numFmtId="4" fontId="16" fillId="0" borderId="97" xfId="2" applyNumberFormat="1" applyFont="1" applyFill="1" applyBorder="1" applyAlignment="1">
      <alignment vertical="center" shrinkToFit="1"/>
    </xf>
    <xf numFmtId="4" fontId="27" fillId="0" borderId="174" xfId="1" applyNumberFormat="1" applyFont="1" applyFill="1" applyBorder="1" applyAlignment="1">
      <alignment vertical="center" shrinkToFit="1"/>
    </xf>
    <xf numFmtId="4" fontId="17" fillId="5" borderId="193" xfId="2" applyNumberFormat="1" applyFont="1" applyFill="1" applyBorder="1" applyAlignment="1">
      <alignment vertical="center" shrinkToFit="1"/>
    </xf>
    <xf numFmtId="4" fontId="67" fillId="0" borderId="98" xfId="1" applyNumberFormat="1" applyFont="1" applyBorder="1" applyAlignment="1">
      <alignment horizontal="center" vertical="center" shrinkToFit="1"/>
    </xf>
    <xf numFmtId="4" fontId="67" fillId="0" borderId="127" xfId="1" applyNumberFormat="1" applyFont="1" applyBorder="1" applyAlignment="1">
      <alignment horizontal="center" vertical="center" shrinkToFit="1"/>
    </xf>
    <xf numFmtId="4" fontId="67" fillId="4" borderId="39" xfId="1" applyNumberFormat="1" applyFont="1" applyFill="1" applyBorder="1" applyAlignment="1">
      <alignment horizontal="center" vertical="center" shrinkToFit="1"/>
    </xf>
    <xf numFmtId="4" fontId="52" fillId="0" borderId="40" xfId="1" applyNumberFormat="1" applyFont="1" applyFill="1" applyBorder="1" applyAlignment="1">
      <alignment horizontal="center" vertical="center" shrinkToFit="1"/>
    </xf>
    <xf numFmtId="4" fontId="52" fillId="0" borderId="45" xfId="1" applyNumberFormat="1" applyFont="1" applyFill="1" applyBorder="1" applyAlignment="1">
      <alignment horizontal="center" vertical="center" shrinkToFit="1"/>
    </xf>
    <xf numFmtId="4" fontId="46" fillId="0" borderId="40" xfId="1" applyNumberFormat="1" applyFont="1" applyFill="1" applyBorder="1" applyAlignment="1">
      <alignment horizontal="center" vertical="center" shrinkToFit="1"/>
    </xf>
    <xf numFmtId="4" fontId="67" fillId="0" borderId="182" xfId="1" applyNumberFormat="1" applyFont="1" applyBorder="1" applyAlignment="1">
      <alignment horizontal="center" vertical="center" shrinkToFit="1"/>
    </xf>
    <xf numFmtId="4" fontId="67" fillId="0" borderId="204" xfId="1" applyNumberFormat="1" applyFont="1" applyBorder="1" applyAlignment="1">
      <alignment horizontal="center" vertical="center" shrinkToFit="1"/>
    </xf>
    <xf numFmtId="4" fontId="67" fillId="0" borderId="205" xfId="1" applyNumberFormat="1" applyFont="1" applyBorder="1" applyAlignment="1">
      <alignment horizontal="center" vertical="center" shrinkToFit="1"/>
    </xf>
    <xf numFmtId="4" fontId="67" fillId="0" borderId="206" xfId="1" applyNumberFormat="1" applyFont="1" applyBorder="1" applyAlignment="1">
      <alignment horizontal="center" vertical="center" shrinkToFit="1"/>
    </xf>
    <xf numFmtId="4" fontId="52" fillId="0" borderId="0" xfId="1" applyNumberFormat="1" applyFont="1" applyFill="1" applyBorder="1" applyAlignment="1">
      <alignment horizontal="center" vertical="center" wrapText="1"/>
    </xf>
    <xf numFmtId="4" fontId="10" fillId="0" borderId="0" xfId="1" applyNumberFormat="1" applyFill="1"/>
    <xf numFmtId="4" fontId="89" fillId="0" borderId="0" xfId="1" applyNumberFormat="1" applyFont="1" applyFill="1"/>
    <xf numFmtId="4" fontId="27" fillId="5" borderId="83" xfId="16" applyNumberFormat="1" applyFont="1" applyFill="1" applyBorder="1" applyAlignment="1">
      <alignment vertical="center" shrinkToFit="1"/>
    </xf>
    <xf numFmtId="4" fontId="27" fillId="5" borderId="22" xfId="1" applyNumberFormat="1" applyFont="1" applyFill="1" applyBorder="1" applyAlignment="1">
      <alignment vertical="center" shrinkToFit="1"/>
    </xf>
    <xf numFmtId="0" fontId="26" fillId="5" borderId="83" xfId="1" applyFont="1" applyFill="1" applyBorder="1" applyAlignment="1">
      <alignment horizontal="left" vertical="center" indent="1" shrinkToFit="1"/>
    </xf>
    <xf numFmtId="0" fontId="20" fillId="5" borderId="83" xfId="20" applyFont="1" applyFill="1" applyBorder="1" applyAlignment="1">
      <alignment horizontal="left" vertical="center" indent="1"/>
    </xf>
    <xf numFmtId="0" fontId="26" fillId="5" borderId="23" xfId="1" applyFont="1" applyFill="1" applyBorder="1" applyAlignment="1">
      <alignment horizontal="left" vertical="center" indent="1" shrinkToFit="1"/>
    </xf>
    <xf numFmtId="4" fontId="17" fillId="5" borderId="22" xfId="2" applyNumberFormat="1" applyFont="1" applyFill="1" applyBorder="1" applyAlignment="1">
      <alignment vertical="center" shrinkToFit="1"/>
    </xf>
    <xf numFmtId="0" fontId="26" fillId="4" borderId="37" xfId="1" applyFont="1" applyFill="1" applyBorder="1" applyAlignment="1">
      <alignment horizontal="left" vertical="center" wrapText="1" indent="1"/>
    </xf>
    <xf numFmtId="0" fontId="26" fillId="4" borderId="28" xfId="1" applyFont="1" applyFill="1" applyBorder="1" applyAlignment="1">
      <alignment horizontal="left" vertical="center" wrapText="1" indent="1"/>
    </xf>
    <xf numFmtId="4" fontId="27" fillId="0" borderId="0" xfId="1" applyNumberFormat="1" applyFont="1" applyAlignment="1">
      <alignment horizontal="center"/>
    </xf>
    <xf numFmtId="14" fontId="52" fillId="2" borderId="164" xfId="1" applyNumberFormat="1" applyFont="1" applyFill="1" applyBorder="1" applyAlignment="1">
      <alignment horizontal="center" vertical="top" wrapText="1"/>
    </xf>
    <xf numFmtId="14" fontId="52" fillId="2" borderId="90" xfId="1" applyNumberFormat="1" applyFont="1" applyFill="1" applyBorder="1" applyAlignment="1">
      <alignment horizontal="center" vertical="top" wrapText="1"/>
    </xf>
    <xf numFmtId="14" fontId="52" fillId="2" borderId="95" xfId="1" applyNumberFormat="1" applyFont="1" applyFill="1" applyBorder="1" applyAlignment="1">
      <alignment horizontal="center" vertical="top" wrapText="1"/>
    </xf>
    <xf numFmtId="14" fontId="63" fillId="2" borderId="70" xfId="1" applyNumberFormat="1" applyFont="1" applyFill="1" applyBorder="1" applyAlignment="1">
      <alignment horizontal="center" vertical="center"/>
    </xf>
    <xf numFmtId="14" fontId="63" fillId="2" borderId="78" xfId="1" applyNumberFormat="1" applyFont="1" applyFill="1" applyBorder="1" applyAlignment="1">
      <alignment horizontal="center" vertical="center"/>
    </xf>
    <xf numFmtId="0" fontId="69" fillId="2" borderId="12" xfId="1" applyFont="1" applyFill="1" applyBorder="1" applyAlignment="1">
      <alignment horizontal="center" vertical="center"/>
    </xf>
    <xf numFmtId="0" fontId="69" fillId="2" borderId="13" xfId="1" applyFont="1" applyFill="1" applyBorder="1" applyAlignment="1">
      <alignment horizontal="center" vertical="center"/>
    </xf>
    <xf numFmtId="0" fontId="69" fillId="2" borderId="14" xfId="1" applyFont="1" applyFill="1" applyBorder="1" applyAlignment="1">
      <alignment horizontal="center" vertical="center"/>
    </xf>
    <xf numFmtId="0" fontId="52" fillId="2" borderId="49" xfId="1" applyFont="1" applyFill="1" applyBorder="1" applyAlignment="1">
      <alignment horizontal="left" vertical="top" wrapText="1"/>
    </xf>
    <xf numFmtId="0" fontId="52" fillId="2" borderId="53" xfId="1" applyFont="1" applyFill="1" applyBorder="1" applyAlignment="1">
      <alignment horizontal="left" vertical="top" wrapText="1"/>
    </xf>
    <xf numFmtId="0" fontId="52" fillId="2" borderId="94" xfId="1" applyFont="1" applyFill="1" applyBorder="1" applyAlignment="1">
      <alignment horizontal="left" vertical="top" wrapText="1"/>
    </xf>
    <xf numFmtId="0" fontId="26" fillId="8" borderId="161" xfId="1" applyFont="1" applyFill="1" applyBorder="1" applyAlignment="1">
      <alignment horizontal="center" vertical="center"/>
    </xf>
    <xf numFmtId="0" fontId="26" fillId="8" borderId="167" xfId="1" applyFont="1" applyFill="1" applyBorder="1" applyAlignment="1">
      <alignment horizontal="center" vertical="center"/>
    </xf>
    <xf numFmtId="0" fontId="26" fillId="8" borderId="161" xfId="1" applyFont="1" applyFill="1" applyBorder="1" applyAlignment="1">
      <alignment horizontal="center" vertical="center" shrinkToFit="1"/>
    </xf>
    <xf numFmtId="0" fontId="26" fillId="8" borderId="167" xfId="1" applyFont="1" applyFill="1" applyBorder="1" applyAlignment="1">
      <alignment horizontal="center" vertical="center" shrinkToFit="1"/>
    </xf>
    <xf numFmtId="0" fontId="26" fillId="8" borderId="168" xfId="1" applyFont="1" applyFill="1" applyBorder="1" applyAlignment="1">
      <alignment horizontal="center" vertical="center" shrinkToFit="1"/>
    </xf>
    <xf numFmtId="0" fontId="26" fillId="8" borderId="165" xfId="1" applyFont="1" applyFill="1" applyBorder="1" applyAlignment="1">
      <alignment horizontal="center" vertical="center" shrinkToFit="1"/>
    </xf>
    <xf numFmtId="0" fontId="26" fillId="8" borderId="162" xfId="1" applyFont="1" applyFill="1" applyBorder="1" applyAlignment="1">
      <alignment horizontal="center" vertical="center" shrinkToFit="1"/>
    </xf>
    <xf numFmtId="0" fontId="26" fillId="8" borderId="163" xfId="1" applyFont="1" applyFill="1" applyBorder="1" applyAlignment="1">
      <alignment horizontal="center" vertical="center" shrinkToFit="1"/>
    </xf>
    <xf numFmtId="0" fontId="24" fillId="4" borderId="24" xfId="1" applyFont="1" applyFill="1" applyBorder="1" applyAlignment="1">
      <alignment horizontal="center" vertical="center" wrapText="1"/>
    </xf>
    <xf numFmtId="0" fontId="24" fillId="4" borderId="26" xfId="1" applyFont="1" applyFill="1" applyBorder="1" applyAlignment="1">
      <alignment horizontal="center" vertical="center" wrapText="1"/>
    </xf>
    <xf numFmtId="0" fontId="26" fillId="8" borderId="168" xfId="1" applyFont="1" applyFill="1" applyBorder="1" applyAlignment="1">
      <alignment horizontal="center" vertical="center"/>
    </xf>
    <xf numFmtId="0" fontId="24" fillId="4" borderId="32" xfId="1" applyFont="1" applyFill="1" applyBorder="1" applyAlignment="1">
      <alignment horizontal="left" vertical="center" wrapText="1"/>
    </xf>
    <xf numFmtId="0" fontId="24" fillId="4" borderId="48" xfId="1" applyFont="1" applyFill="1" applyBorder="1" applyAlignment="1">
      <alignment horizontal="left" vertical="center" wrapText="1"/>
    </xf>
    <xf numFmtId="0" fontId="24" fillId="4" borderId="21" xfId="1" applyFont="1" applyFill="1" applyBorder="1" applyAlignment="1">
      <alignment horizontal="left" vertical="center" wrapText="1"/>
    </xf>
    <xf numFmtId="0" fontId="24" fillId="4" borderId="23" xfId="1" applyFont="1" applyFill="1" applyBorder="1" applyAlignment="1">
      <alignment horizontal="left" vertical="center" wrapText="1"/>
    </xf>
    <xf numFmtId="0" fontId="41" fillId="8" borderId="152" xfId="1" applyFont="1" applyFill="1" applyBorder="1" applyAlignment="1">
      <alignment horizontal="center" vertical="center"/>
    </xf>
    <xf numFmtId="0" fontId="41" fillId="8" borderId="153" xfId="1" applyFont="1" applyFill="1" applyBorder="1" applyAlignment="1">
      <alignment horizontal="center" vertical="center"/>
    </xf>
    <xf numFmtId="0" fontId="41" fillId="8" borderId="151" xfId="1" applyFont="1" applyFill="1" applyBorder="1" applyAlignment="1">
      <alignment horizontal="center" vertical="center"/>
    </xf>
    <xf numFmtId="0" fontId="41" fillId="17" borderId="152" xfId="1" applyFont="1" applyFill="1" applyBorder="1" applyAlignment="1">
      <alignment horizontal="center" vertical="center"/>
    </xf>
    <xf numFmtId="0" fontId="41" fillId="17" borderId="153" xfId="1" applyFont="1" applyFill="1" applyBorder="1" applyAlignment="1">
      <alignment horizontal="center" vertical="center"/>
    </xf>
    <xf numFmtId="0" fontId="41" fillId="17" borderId="151" xfId="1" applyFont="1" applyFill="1" applyBorder="1" applyAlignment="1">
      <alignment horizontal="center" vertical="center"/>
    </xf>
    <xf numFmtId="0" fontId="20" fillId="4" borderId="183" xfId="1" applyFont="1" applyFill="1" applyBorder="1" applyAlignment="1">
      <alignment horizontal="right" vertical="center" indent="1"/>
    </xf>
    <xf numFmtId="0" fontId="20" fillId="4" borderId="205" xfId="1" applyFont="1" applyFill="1" applyBorder="1" applyAlignment="1">
      <alignment horizontal="right" vertical="center" indent="1"/>
    </xf>
    <xf numFmtId="0" fontId="20" fillId="4" borderId="181" xfId="1" applyFont="1" applyFill="1" applyBorder="1" applyAlignment="1">
      <alignment horizontal="right" vertical="center" indent="1"/>
    </xf>
    <xf numFmtId="0" fontId="20" fillId="4" borderId="98" xfId="1" applyFont="1" applyFill="1" applyBorder="1" applyAlignment="1">
      <alignment horizontal="right" vertical="center" indent="1"/>
    </xf>
    <xf numFmtId="0" fontId="20" fillId="4" borderId="203" xfId="1" applyFont="1" applyFill="1" applyBorder="1" applyAlignment="1">
      <alignment horizontal="right" vertical="center" indent="1"/>
    </xf>
    <xf numFmtId="0" fontId="20" fillId="4" borderId="127" xfId="1" applyFont="1" applyFill="1" applyBorder="1" applyAlignment="1">
      <alignment horizontal="right" vertical="center" indent="1"/>
    </xf>
    <xf numFmtId="0" fontId="18" fillId="0" borderId="0" xfId="0" applyNumberFormat="1" applyFont="1" applyBorder="1" applyAlignment="1">
      <alignment horizontal="left" vertical="center" wrapText="1" indent="1"/>
    </xf>
    <xf numFmtId="0" fontId="16" fillId="0" borderId="0" xfId="0" applyFont="1" applyBorder="1" applyAlignment="1">
      <alignment horizontal="right" vertical="center" indent="1"/>
    </xf>
    <xf numFmtId="0" fontId="18" fillId="0" borderId="15" xfId="0" applyFont="1" applyBorder="1" applyAlignment="1">
      <alignment horizontal="right"/>
    </xf>
    <xf numFmtId="0" fontId="18" fillId="0" borderId="17" xfId="0" applyFont="1" applyBorder="1" applyAlignment="1">
      <alignment horizontal="right"/>
    </xf>
    <xf numFmtId="0" fontId="16" fillId="0" borderId="153" xfId="0" applyFont="1" applyBorder="1" applyAlignment="1">
      <alignment horizontal="center" vertical="center"/>
    </xf>
    <xf numFmtId="0" fontId="18" fillId="0" borderId="15"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37" xfId="0" applyFont="1" applyBorder="1" applyAlignment="1">
      <alignment horizontal="center" vertical="center"/>
    </xf>
    <xf numFmtId="0" fontId="18" fillId="0" borderId="28" xfId="0" applyFont="1" applyBorder="1" applyAlignment="1">
      <alignment horizontal="center" vertical="center"/>
    </xf>
    <xf numFmtId="0" fontId="18" fillId="0" borderId="0" xfId="0" applyNumberFormat="1" applyFont="1" applyBorder="1" applyAlignment="1">
      <alignment horizontal="center"/>
    </xf>
    <xf numFmtId="0" fontId="18" fillId="0" borderId="132" xfId="0" applyNumberFormat="1" applyFont="1" applyBorder="1" applyAlignment="1">
      <alignment horizontal="center" vertical="center"/>
    </xf>
    <xf numFmtId="0" fontId="18" fillId="0" borderId="133" xfId="0" applyNumberFormat="1" applyFont="1" applyBorder="1" applyAlignment="1">
      <alignment horizontal="center" vertical="center"/>
    </xf>
    <xf numFmtId="14" fontId="18" fillId="0" borderId="36" xfId="0" applyNumberFormat="1" applyFont="1" applyBorder="1" applyAlignment="1">
      <alignment horizontal="center" vertical="center"/>
    </xf>
    <xf numFmtId="0" fontId="18" fillId="0" borderId="31" xfId="0" applyFont="1" applyBorder="1" applyAlignment="1">
      <alignment horizontal="center" vertical="center"/>
    </xf>
    <xf numFmtId="0" fontId="18" fillId="0" borderId="0" xfId="0" applyNumberFormat="1" applyFont="1" applyBorder="1" applyAlignment="1">
      <alignment horizontal="center" wrapText="1"/>
    </xf>
    <xf numFmtId="0" fontId="18" fillId="0" borderId="2" xfId="0" applyNumberFormat="1" applyFont="1" applyBorder="1" applyAlignment="1">
      <alignment horizontal="center" vertical="center" wrapText="1"/>
    </xf>
    <xf numFmtId="0" fontId="16" fillId="0" borderId="153" xfId="0" applyNumberFormat="1" applyFont="1" applyBorder="1" applyAlignment="1">
      <alignment horizontal="center" vertical="center" wrapText="1"/>
    </xf>
    <xf numFmtId="0" fontId="53" fillId="0" borderId="128" xfId="0" applyFont="1" applyBorder="1" applyAlignment="1">
      <alignment horizontal="center" vertical="center" wrapText="1"/>
    </xf>
    <xf numFmtId="0" fontId="53" fillId="0" borderId="129"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9" xfId="0" applyFont="1" applyBorder="1" applyAlignment="1">
      <alignment horizontal="center" vertical="center" wrapText="1"/>
    </xf>
    <xf numFmtId="0" fontId="19" fillId="0" borderId="127" xfId="0" applyFont="1" applyBorder="1" applyAlignment="1">
      <alignment horizontal="left" vertical="center" indent="1"/>
    </xf>
    <xf numFmtId="0" fontId="53" fillId="0" borderId="130" xfId="0" applyFont="1" applyBorder="1" applyAlignment="1">
      <alignment horizontal="center" vertical="center"/>
    </xf>
    <xf numFmtId="0" fontId="53" fillId="0" borderId="123" xfId="0" applyFont="1" applyBorder="1" applyAlignment="1">
      <alignment horizontal="center" vertical="center"/>
    </xf>
    <xf numFmtId="0" fontId="19" fillId="0" borderId="130" xfId="0" applyFont="1" applyBorder="1" applyAlignment="1">
      <alignment horizontal="center" vertical="center" wrapText="1"/>
    </xf>
    <xf numFmtId="0" fontId="19" fillId="0" borderId="123" xfId="0" applyFont="1" applyBorder="1" applyAlignment="1">
      <alignment horizontal="center"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4" xfId="0" applyFont="1" applyBorder="1" applyAlignment="1">
      <alignment horizontal="center" vertical="center"/>
    </xf>
    <xf numFmtId="0" fontId="18" fillId="0" borderId="115" xfId="0" applyFont="1" applyBorder="1" applyAlignment="1">
      <alignment horizontal="center" vertical="center"/>
    </xf>
    <xf numFmtId="0" fontId="18" fillId="0" borderId="38" xfId="0" applyFont="1" applyBorder="1" applyAlignment="1">
      <alignment horizontal="center" vertical="center"/>
    </xf>
    <xf numFmtId="0" fontId="18" fillId="0" borderId="27" xfId="0" applyFont="1" applyBorder="1" applyAlignment="1">
      <alignment horizontal="center" vertical="center"/>
    </xf>
    <xf numFmtId="166" fontId="18" fillId="0" borderId="0" xfId="0" applyNumberFormat="1" applyFont="1" applyAlignment="1">
      <alignment horizontal="center" vertical="center"/>
    </xf>
    <xf numFmtId="0" fontId="54" fillId="0" borderId="0" xfId="0" applyNumberFormat="1" applyFont="1" applyBorder="1" applyAlignment="1">
      <alignment horizontal="center"/>
    </xf>
    <xf numFmtId="0" fontId="18" fillId="0" borderId="132" xfId="0" applyNumberFormat="1" applyFont="1" applyBorder="1" applyAlignment="1">
      <alignment horizontal="center"/>
    </xf>
    <xf numFmtId="0" fontId="18" fillId="0" borderId="133" xfId="0" applyNumberFormat="1" applyFont="1" applyBorder="1" applyAlignment="1">
      <alignment horizontal="center"/>
    </xf>
    <xf numFmtId="14" fontId="54" fillId="0" borderId="37" xfId="0" applyNumberFormat="1" applyFont="1" applyBorder="1" applyAlignment="1">
      <alignment horizontal="center" vertical="center"/>
    </xf>
    <xf numFmtId="0" fontId="54" fillId="0" borderId="28" xfId="0" applyFont="1" applyBorder="1" applyAlignment="1">
      <alignment horizontal="center" vertical="center"/>
    </xf>
    <xf numFmtId="0" fontId="16" fillId="0" borderId="131" xfId="0" applyFont="1" applyBorder="1" applyAlignment="1">
      <alignment horizontal="center" vertical="center"/>
    </xf>
    <xf numFmtId="166" fontId="54" fillId="0" borderId="0" xfId="0" applyNumberFormat="1" applyFont="1" applyAlignment="1">
      <alignment horizontal="center" vertical="center"/>
    </xf>
    <xf numFmtId="4" fontId="28" fillId="15" borderId="125" xfId="12" applyNumberFormat="1" applyFont="1" applyFill="1" applyBorder="1" applyAlignment="1">
      <alignment horizontal="right" vertical="top"/>
    </xf>
    <xf numFmtId="167" fontId="16" fillId="4" borderId="23" xfId="0" applyNumberFormat="1" applyFont="1" applyFill="1" applyBorder="1" applyAlignment="1">
      <alignment horizontal="right" vertical="center"/>
    </xf>
    <xf numFmtId="167" fontId="16" fillId="4" borderId="46" xfId="0" applyNumberFormat="1" applyFont="1" applyFill="1" applyBorder="1" applyAlignment="1">
      <alignment horizontal="right" vertical="center"/>
    </xf>
    <xf numFmtId="49" fontId="16" fillId="4" borderId="29" xfId="0" applyNumberFormat="1" applyFont="1" applyFill="1" applyBorder="1" applyAlignment="1">
      <alignment horizontal="center" vertical="center"/>
    </xf>
    <xf numFmtId="49" fontId="16" fillId="4" borderId="32" xfId="0" applyNumberFormat="1" applyFont="1" applyFill="1" applyBorder="1" applyAlignment="1">
      <alignment horizontal="center" vertical="center"/>
    </xf>
    <xf numFmtId="49" fontId="16" fillId="4" borderId="30" xfId="0" applyNumberFormat="1" applyFont="1" applyFill="1" applyBorder="1" applyAlignment="1">
      <alignment horizontal="center" vertical="center"/>
    </xf>
    <xf numFmtId="49" fontId="16" fillId="4" borderId="33" xfId="0" applyNumberFormat="1" applyFont="1" applyFill="1" applyBorder="1" applyAlignment="1">
      <alignment horizontal="center" vertical="center"/>
    </xf>
    <xf numFmtId="49" fontId="16" fillId="4" borderId="87" xfId="0" applyNumberFormat="1" applyFont="1" applyFill="1" applyBorder="1" applyAlignment="1">
      <alignment horizontal="center" vertical="center"/>
    </xf>
    <xf numFmtId="49" fontId="16" fillId="4" borderId="88" xfId="0" applyNumberFormat="1" applyFont="1" applyFill="1" applyBorder="1" applyAlignment="1">
      <alignment horizontal="center" vertical="center"/>
    </xf>
    <xf numFmtId="167" fontId="16" fillId="4" borderId="29" xfId="0" applyNumberFormat="1" applyFont="1" applyFill="1" applyBorder="1" applyAlignment="1">
      <alignment horizontal="right" vertical="center"/>
    </xf>
    <xf numFmtId="167" fontId="16" fillId="4" borderId="32" xfId="0" applyNumberFormat="1" applyFont="1" applyFill="1" applyBorder="1" applyAlignment="1">
      <alignment horizontal="right" vertical="center"/>
    </xf>
    <xf numFmtId="167" fontId="16" fillId="4" borderId="30" xfId="0" applyNumberFormat="1" applyFont="1" applyFill="1" applyBorder="1" applyAlignment="1">
      <alignment horizontal="right" vertical="center"/>
    </xf>
    <xf numFmtId="167" fontId="16" fillId="4" borderId="33" xfId="0" applyNumberFormat="1" applyFont="1" applyFill="1" applyBorder="1" applyAlignment="1">
      <alignment horizontal="right" vertical="center"/>
    </xf>
    <xf numFmtId="167" fontId="16" fillId="4" borderId="48" xfId="0" applyNumberFormat="1" applyFont="1" applyFill="1" applyBorder="1" applyAlignment="1">
      <alignment horizontal="right" vertical="center"/>
    </xf>
    <xf numFmtId="49" fontId="16" fillId="4" borderId="53" xfId="0" applyNumberFormat="1" applyFont="1" applyFill="1" applyBorder="1" applyAlignment="1">
      <alignment horizontal="center" vertical="center"/>
    </xf>
    <xf numFmtId="49" fontId="16" fillId="4" borderId="54" xfId="0" applyNumberFormat="1" applyFont="1" applyFill="1" applyBorder="1" applyAlignment="1">
      <alignment horizontal="center" vertical="center"/>
    </xf>
    <xf numFmtId="49" fontId="16" fillId="4" borderId="97" xfId="0" applyNumberFormat="1" applyFont="1" applyFill="1" applyBorder="1" applyAlignment="1">
      <alignment horizontal="center" vertical="center"/>
    </xf>
    <xf numFmtId="167" fontId="16" fillId="4" borderId="21" xfId="0" applyNumberFormat="1" applyFont="1" applyFill="1" applyBorder="1" applyAlignment="1">
      <alignment horizontal="right" vertical="center"/>
    </xf>
    <xf numFmtId="167" fontId="16" fillId="4" borderId="22" xfId="0" applyNumberFormat="1" applyFont="1" applyFill="1" applyBorder="1" applyAlignment="1">
      <alignment horizontal="right" vertical="center"/>
    </xf>
    <xf numFmtId="0" fontId="14" fillId="0" borderId="0" xfId="0" applyNumberFormat="1" applyFont="1" applyFill="1" applyBorder="1" applyAlignment="1">
      <alignment horizontal="left" vertical="center" wrapText="1" indent="3"/>
    </xf>
    <xf numFmtId="0" fontId="14" fillId="0" borderId="0" xfId="0" quotePrefix="1" applyNumberFormat="1" applyFont="1" applyFill="1" applyBorder="1" applyAlignment="1">
      <alignment horizontal="left" vertical="center" wrapText="1" indent="5"/>
    </xf>
    <xf numFmtId="0" fontId="14" fillId="0" borderId="0" xfId="0" applyNumberFormat="1" applyFont="1" applyFill="1" applyBorder="1" applyAlignment="1">
      <alignment horizontal="left" vertical="center" wrapText="1" indent="5"/>
    </xf>
    <xf numFmtId="0" fontId="16" fillId="0" borderId="3" xfId="0" applyNumberFormat="1" applyFont="1" applyBorder="1" applyAlignment="1">
      <alignment horizontal="center" vertical="center"/>
    </xf>
    <xf numFmtId="0" fontId="20" fillId="0" borderId="0" xfId="0" applyNumberFormat="1" applyFont="1" applyBorder="1" applyAlignment="1">
      <alignment horizontal="center"/>
    </xf>
    <xf numFmtId="167" fontId="16" fillId="4" borderId="21" xfId="0" applyNumberFormat="1" applyFont="1" applyFill="1" applyBorder="1" applyAlignment="1">
      <alignment horizontal="center" vertical="center"/>
    </xf>
    <xf numFmtId="167" fontId="16" fillId="4" borderId="30" xfId="0" applyNumberFormat="1" applyFont="1" applyFill="1" applyBorder="1" applyAlignment="1">
      <alignment horizontal="center" vertical="center"/>
    </xf>
    <xf numFmtId="167" fontId="16" fillId="4" borderId="33" xfId="0" applyNumberFormat="1" applyFont="1" applyFill="1" applyBorder="1" applyAlignment="1">
      <alignment horizontal="center" vertical="center"/>
    </xf>
    <xf numFmtId="167" fontId="16" fillId="4" borderId="46" xfId="0" applyNumberFormat="1" applyFont="1" applyFill="1" applyBorder="1" applyAlignment="1">
      <alignment horizontal="center" vertical="center"/>
    </xf>
    <xf numFmtId="167" fontId="16" fillId="4" borderId="48" xfId="0" applyNumberFormat="1" applyFont="1" applyFill="1" applyBorder="1" applyAlignment="1">
      <alignment horizontal="center" vertical="center"/>
    </xf>
    <xf numFmtId="0" fontId="16" fillId="0" borderId="42" xfId="0" applyNumberFormat="1" applyFont="1" applyBorder="1" applyAlignment="1">
      <alignment horizontal="center" vertical="center" wrapText="1"/>
    </xf>
    <xf numFmtId="0" fontId="16" fillId="0" borderId="43" xfId="0" applyNumberFormat="1" applyFont="1" applyBorder="1" applyAlignment="1">
      <alignment horizontal="center" vertical="center" wrapText="1"/>
    </xf>
    <xf numFmtId="0" fontId="16" fillId="0" borderId="44"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49" fontId="16" fillId="0" borderId="36" xfId="0" applyNumberFormat="1" applyFont="1" applyFill="1" applyBorder="1" applyAlignment="1">
      <alignment horizontal="left" vertical="center" wrapText="1" indent="1"/>
    </xf>
    <xf numFmtId="49" fontId="16" fillId="0" borderId="31" xfId="0" applyNumberFormat="1" applyFont="1" applyFill="1" applyBorder="1" applyAlignment="1">
      <alignment horizontal="left" vertical="center" wrapText="1" indent="1"/>
    </xf>
    <xf numFmtId="0" fontId="14" fillId="0" borderId="0" xfId="0" applyFont="1" applyAlignment="1">
      <alignment horizontal="center"/>
    </xf>
    <xf numFmtId="0" fontId="21" fillId="0" borderId="0" xfId="0" applyFont="1" applyAlignment="1">
      <alignment horizontal="left" vertical="center" wrapText="1" indent="1"/>
    </xf>
    <xf numFmtId="0" fontId="16" fillId="0" borderId="0" xfId="0" applyFont="1" applyAlignment="1">
      <alignment horizontal="left" vertical="center" wrapText="1" indent="1"/>
    </xf>
    <xf numFmtId="0" fontId="14" fillId="0" borderId="0" xfId="0" applyFont="1" applyAlignment="1">
      <alignment horizontal="left" vertical="center" wrapText="1" indent="1"/>
    </xf>
    <xf numFmtId="49" fontId="16" fillId="0" borderId="45"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49" fontId="16" fillId="12" borderId="104" xfId="0" applyNumberFormat="1" applyFont="1" applyFill="1" applyBorder="1" applyAlignment="1">
      <alignment horizontal="left" vertical="center" wrapText="1" indent="1"/>
    </xf>
    <xf numFmtId="49" fontId="16" fillId="12" borderId="105" xfId="0" applyNumberFormat="1" applyFont="1" applyFill="1" applyBorder="1" applyAlignment="1">
      <alignment horizontal="left" vertical="center" wrapText="1" indent="1"/>
    </xf>
    <xf numFmtId="49" fontId="16" fillId="0" borderId="38" xfId="0" applyNumberFormat="1" applyFont="1" applyFill="1" applyBorder="1" applyAlignment="1">
      <alignment horizontal="left" vertical="center" wrapText="1" indent="1"/>
    </xf>
    <xf numFmtId="49" fontId="16" fillId="0" borderId="27" xfId="0" applyNumberFormat="1" applyFont="1" applyFill="1" applyBorder="1" applyAlignment="1">
      <alignment horizontal="left" vertical="center" wrapText="1" indent="1"/>
    </xf>
    <xf numFmtId="49" fontId="16" fillId="0" borderId="14" xfId="0" applyNumberFormat="1"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6"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10" xfId="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16" fillId="0" borderId="9" xfId="0" applyNumberFormat="1" applyFont="1" applyBorder="1" applyAlignment="1">
      <alignment horizontal="center" vertical="center"/>
    </xf>
    <xf numFmtId="49" fontId="16" fillId="4" borderId="38" xfId="0" applyNumberFormat="1" applyFont="1" applyFill="1" applyBorder="1" applyAlignment="1">
      <alignment horizontal="left" vertical="center" wrapText="1" indent="1"/>
    </xf>
    <xf numFmtId="49" fontId="16" fillId="4" borderId="27" xfId="0" applyNumberFormat="1" applyFont="1" applyFill="1" applyBorder="1" applyAlignment="1">
      <alignment horizontal="left" vertical="center" wrapText="1" indent="1"/>
    </xf>
    <xf numFmtId="49" fontId="16" fillId="0" borderId="38" xfId="0" applyNumberFormat="1" applyFont="1" applyBorder="1" applyAlignment="1">
      <alignment horizontal="left" vertical="center" wrapText="1" indent="1"/>
    </xf>
    <xf numFmtId="49" fontId="16" fillId="0" borderId="27" xfId="0" applyNumberFormat="1" applyFont="1" applyBorder="1" applyAlignment="1">
      <alignment horizontal="left" vertical="center" wrapText="1" indent="1"/>
    </xf>
    <xf numFmtId="49" fontId="16" fillId="8" borderId="35" xfId="0" applyNumberFormat="1" applyFont="1" applyFill="1" applyBorder="1" applyAlignment="1">
      <alignment horizontal="left" vertical="center" wrapText="1" indent="1"/>
    </xf>
    <xf numFmtId="49" fontId="16" fillId="8" borderId="34" xfId="0" applyNumberFormat="1" applyFont="1" applyFill="1" applyBorder="1" applyAlignment="1">
      <alignment horizontal="left" vertical="center" wrapText="1" indent="1"/>
    </xf>
    <xf numFmtId="0" fontId="16" fillId="0" borderId="4"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49" fontId="17" fillId="0" borderId="4" xfId="0" applyNumberFormat="1" applyFont="1" applyBorder="1" applyAlignment="1">
      <alignment horizontal="center" wrapText="1"/>
    </xf>
    <xf numFmtId="49" fontId="17" fillId="0" borderId="5" xfId="0" applyNumberFormat="1" applyFont="1" applyBorder="1" applyAlignment="1">
      <alignment horizontal="center" wrapText="1"/>
    </xf>
    <xf numFmtId="49" fontId="16" fillId="12" borderId="6" xfId="0" applyNumberFormat="1" applyFont="1" applyFill="1" applyBorder="1" applyAlignment="1">
      <alignment horizontal="left" vertical="center" wrapText="1" indent="1"/>
    </xf>
    <xf numFmtId="49" fontId="16" fillId="12" borderId="7" xfId="0" applyNumberFormat="1" applyFont="1" applyFill="1" applyBorder="1" applyAlignment="1">
      <alignment horizontal="left" vertical="center" wrapText="1" indent="1"/>
    </xf>
    <xf numFmtId="0" fontId="15" fillId="0" borderId="49" xfId="0" applyNumberFormat="1" applyFont="1" applyFill="1" applyBorder="1" applyAlignment="1">
      <alignment horizontal="center" vertical="center" wrapText="1"/>
    </xf>
    <xf numFmtId="0" fontId="15" fillId="0" borderId="53" xfId="0" applyNumberFormat="1" applyFont="1" applyFill="1" applyBorder="1" applyAlignment="1">
      <alignment horizontal="center" vertical="center" wrapText="1"/>
    </xf>
    <xf numFmtId="0" fontId="15" fillId="0" borderId="94" xfId="0" applyNumberFormat="1" applyFont="1" applyFill="1" applyBorder="1" applyAlignment="1">
      <alignment horizontal="center" vertical="center" wrapText="1"/>
    </xf>
    <xf numFmtId="0" fontId="16" fillId="0" borderId="51" xfId="0" applyNumberFormat="1" applyFont="1" applyFill="1" applyBorder="1" applyAlignment="1">
      <alignment horizontal="center" vertical="center" wrapText="1"/>
    </xf>
    <xf numFmtId="0" fontId="16" fillId="0" borderId="90" xfId="0" applyNumberFormat="1" applyFont="1" applyFill="1" applyBorder="1" applyAlignment="1">
      <alignment horizontal="center" vertical="center" wrapText="1"/>
    </xf>
    <xf numFmtId="0" fontId="16" fillId="0" borderId="95" xfId="0" applyNumberFormat="1" applyFont="1" applyFill="1" applyBorder="1" applyAlignment="1">
      <alignment horizontal="center" vertical="center" wrapText="1"/>
    </xf>
    <xf numFmtId="0" fontId="16" fillId="0" borderId="15" xfId="0" applyNumberFormat="1" applyFont="1" applyBorder="1" applyAlignment="1">
      <alignment horizontal="center"/>
    </xf>
    <xf numFmtId="0" fontId="16" fillId="0" borderId="17" xfId="0" applyNumberFormat="1"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5" xfId="0" applyNumberFormat="1" applyFont="1" applyBorder="1" applyAlignment="1">
      <alignment horizontal="center" vertical="center"/>
    </xf>
    <xf numFmtId="0" fontId="16" fillId="0" borderId="16" xfId="0" applyNumberFormat="1" applyFont="1" applyBorder="1" applyAlignment="1">
      <alignment horizontal="center" vertical="center"/>
    </xf>
    <xf numFmtId="0" fontId="16" fillId="0" borderId="17" xfId="0" applyNumberFormat="1"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60" xfId="0" applyFont="1" applyBorder="1" applyAlignment="1">
      <alignment horizontal="center"/>
    </xf>
    <xf numFmtId="0" fontId="16" fillId="0" borderId="2" xfId="0" applyFont="1" applyBorder="1" applyAlignment="1">
      <alignment horizontal="center"/>
    </xf>
    <xf numFmtId="0" fontId="16" fillId="0" borderId="61" xfId="0" applyFont="1" applyBorder="1" applyAlignment="1">
      <alignment horizontal="center"/>
    </xf>
    <xf numFmtId="0" fontId="16" fillId="0" borderId="62" xfId="0" applyFont="1" applyBorder="1" applyAlignment="1">
      <alignment horizontal="center"/>
    </xf>
    <xf numFmtId="0" fontId="16" fillId="0" borderId="1" xfId="0" applyFont="1" applyBorder="1" applyAlignment="1">
      <alignment horizontal="center"/>
    </xf>
    <xf numFmtId="0" fontId="16" fillId="0" borderId="66" xfId="0" applyFont="1" applyBorder="1" applyAlignment="1">
      <alignment horizontal="center"/>
    </xf>
    <xf numFmtId="0" fontId="16" fillId="0" borderId="62" xfId="0" applyFont="1" applyBorder="1" applyAlignment="1">
      <alignment horizontal="center" vertical="center"/>
    </xf>
    <xf numFmtId="0" fontId="16" fillId="0" borderId="66" xfId="0" applyFont="1" applyBorder="1" applyAlignment="1">
      <alignment horizontal="center" vertical="center"/>
    </xf>
    <xf numFmtId="166" fontId="15" fillId="0" borderId="63" xfId="0" applyNumberFormat="1" applyFont="1" applyBorder="1" applyAlignment="1">
      <alignment horizontal="left" indent="2"/>
    </xf>
    <xf numFmtId="166" fontId="15" fillId="0" borderId="64" xfId="0" applyNumberFormat="1" applyFont="1" applyBorder="1" applyAlignment="1">
      <alignment horizontal="left" indent="2"/>
    </xf>
    <xf numFmtId="0" fontId="14" fillId="0" borderId="0" xfId="0" applyFont="1" applyFill="1" applyAlignment="1">
      <alignment horizontal="left" vertical="center" wrapText="1" indent="1"/>
    </xf>
    <xf numFmtId="49" fontId="16" fillId="0" borderId="45"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49" fontId="16" fillId="0" borderId="37" xfId="0" applyNumberFormat="1" applyFont="1" applyBorder="1" applyAlignment="1">
      <alignment horizontal="left" vertical="center" wrapText="1" indent="1"/>
    </xf>
    <xf numFmtId="49" fontId="16" fillId="0" borderId="28" xfId="0" applyNumberFormat="1" applyFont="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0" applyNumberFormat="1" applyFont="1" applyBorder="1" applyAlignment="1">
      <alignment horizontal="left" vertical="center" wrapText="1" indent="1"/>
    </xf>
    <xf numFmtId="4" fontId="16" fillId="0" borderId="21" xfId="0" applyNumberFormat="1" applyFont="1" applyFill="1" applyBorder="1" applyAlignment="1" applyProtection="1">
      <alignment horizontal="center" vertical="center" shrinkToFit="1"/>
    </xf>
    <xf numFmtId="4" fontId="16" fillId="0" borderId="22" xfId="0" applyNumberFormat="1" applyFont="1" applyFill="1" applyBorder="1" applyAlignment="1" applyProtection="1">
      <alignment horizontal="center" vertical="center" shrinkToFit="1"/>
    </xf>
    <xf numFmtId="4" fontId="16" fillId="0" borderId="24" xfId="0" applyNumberFormat="1" applyFont="1" applyFill="1" applyBorder="1" applyAlignment="1" applyProtection="1">
      <alignment horizontal="center" vertical="center" shrinkToFit="1"/>
    </xf>
    <xf numFmtId="4" fontId="16" fillId="0" borderId="25" xfId="0" applyNumberFormat="1" applyFont="1" applyFill="1" applyBorder="1" applyAlignment="1" applyProtection="1">
      <alignment horizontal="center" vertical="center" shrinkToFit="1"/>
    </xf>
    <xf numFmtId="4" fontId="16" fillId="0" borderId="23" xfId="0" applyNumberFormat="1" applyFont="1" applyFill="1" applyBorder="1" applyAlignment="1" applyProtection="1">
      <alignment horizontal="center" vertical="center" shrinkToFit="1"/>
    </xf>
    <xf numFmtId="4" fontId="16" fillId="0" borderId="26" xfId="0" applyNumberFormat="1" applyFont="1" applyFill="1" applyBorder="1" applyAlignment="1" applyProtection="1">
      <alignment horizontal="center" vertical="center" shrinkToFit="1"/>
    </xf>
    <xf numFmtId="0" fontId="20" fillId="0" borderId="0" xfId="0" applyNumberFormat="1" applyFont="1" applyFill="1" applyBorder="1" applyAlignment="1" applyProtection="1">
      <alignment horizontal="left" vertical="center" indent="4"/>
    </xf>
    <xf numFmtId="4" fontId="16" fillId="0" borderId="18" xfId="0" applyNumberFormat="1" applyFont="1" applyFill="1" applyBorder="1" applyAlignment="1" applyProtection="1">
      <alignment horizontal="center" vertical="center" shrinkToFit="1"/>
    </xf>
    <xf numFmtId="4" fontId="16" fillId="0" borderId="19" xfId="0" applyNumberFormat="1" applyFont="1" applyFill="1" applyBorder="1" applyAlignment="1" applyProtection="1">
      <alignment horizontal="center" vertical="center" shrinkToFit="1"/>
    </xf>
    <xf numFmtId="4" fontId="17" fillId="0" borderId="24" xfId="0" applyNumberFormat="1" applyFont="1" applyFill="1" applyBorder="1" applyAlignment="1" applyProtection="1">
      <alignment horizontal="center" vertical="center" shrinkToFit="1"/>
    </xf>
    <xf numFmtId="4" fontId="17" fillId="0" borderId="25" xfId="0" applyNumberFormat="1" applyFont="1" applyFill="1" applyBorder="1" applyAlignment="1" applyProtection="1">
      <alignment horizontal="center" vertical="center" shrinkToFit="1"/>
    </xf>
    <xf numFmtId="4" fontId="16" fillId="0" borderId="20" xfId="0" applyNumberFormat="1" applyFont="1" applyFill="1" applyBorder="1" applyAlignment="1" applyProtection="1">
      <alignment horizontal="center" vertical="center" shrinkToFit="1"/>
    </xf>
    <xf numFmtId="4" fontId="17" fillId="0" borderId="26" xfId="0" applyNumberFormat="1" applyFont="1" applyFill="1" applyBorder="1" applyAlignment="1" applyProtection="1">
      <alignment horizontal="center" vertical="center" shrinkToFit="1"/>
    </xf>
    <xf numFmtId="0" fontId="16" fillId="0" borderId="85"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16" fillId="0" borderId="20" xfId="0" applyNumberFormat="1" applyFont="1" applyFill="1" applyBorder="1" applyAlignment="1" applyProtection="1">
      <alignment horizontal="center" vertical="center" wrapText="1"/>
    </xf>
    <xf numFmtId="0" fontId="14" fillId="0" borderId="25" xfId="0" applyNumberFormat="1" applyFont="1" applyFill="1" applyBorder="1" applyAlignment="1" applyProtection="1">
      <alignment horizontal="center" vertical="center"/>
    </xf>
    <xf numFmtId="0" fontId="14" fillId="0" borderId="26" xfId="0" applyNumberFormat="1" applyFont="1" applyFill="1" applyBorder="1" applyAlignment="1" applyProtection="1">
      <alignment horizontal="center" vertical="center"/>
    </xf>
    <xf numFmtId="4" fontId="17" fillId="0" borderId="120" xfId="0" applyNumberFormat="1" applyFont="1" applyFill="1" applyBorder="1" applyAlignment="1" applyProtection="1">
      <alignment horizontal="center" vertical="center" shrinkToFit="1"/>
    </xf>
    <xf numFmtId="4" fontId="17" fillId="0" borderId="121" xfId="0" applyNumberFormat="1" applyFont="1" applyFill="1" applyBorder="1" applyAlignment="1" applyProtection="1">
      <alignment horizontal="center" vertical="center" shrinkToFit="1"/>
    </xf>
    <xf numFmtId="4" fontId="17" fillId="0" borderId="123" xfId="0" applyNumberFormat="1" applyFont="1" applyFill="1" applyBorder="1" applyAlignment="1" applyProtection="1">
      <alignment horizontal="center" vertical="center" shrinkToFit="1"/>
    </xf>
    <xf numFmtId="0" fontId="17" fillId="0" borderId="96" xfId="0" applyNumberFormat="1" applyFont="1" applyFill="1" applyBorder="1" applyAlignment="1" applyProtection="1">
      <alignment horizontal="center" vertical="center"/>
    </xf>
    <xf numFmtId="0" fontId="17" fillId="0" borderId="50" xfId="0" applyNumberFormat="1" applyFont="1" applyFill="1" applyBorder="1" applyAlignment="1" applyProtection="1">
      <alignment horizontal="center" vertical="center"/>
    </xf>
    <xf numFmtId="0" fontId="17" fillId="0" borderId="51" xfId="0" applyNumberFormat="1" applyFont="1" applyFill="1" applyBorder="1" applyAlignment="1" applyProtection="1">
      <alignment horizontal="center" vertical="center"/>
    </xf>
    <xf numFmtId="0" fontId="17" fillId="0" borderId="85" xfId="0" applyNumberFormat="1" applyFont="1" applyFill="1" applyBorder="1" applyAlignment="1" applyProtection="1">
      <alignment horizontal="center" vertical="top" wrapText="1"/>
    </xf>
    <xf numFmtId="0" fontId="17" fillId="0" borderId="19" xfId="0" applyNumberFormat="1" applyFont="1" applyFill="1" applyBorder="1" applyAlignment="1" applyProtection="1">
      <alignment horizontal="center" vertical="top" wrapText="1"/>
    </xf>
    <xf numFmtId="0" fontId="16" fillId="0" borderId="19" xfId="0" applyNumberFormat="1" applyFont="1" applyFill="1" applyBorder="1" applyAlignment="1" applyProtection="1">
      <alignment horizontal="center" vertical="top" wrapText="1"/>
    </xf>
    <xf numFmtId="0" fontId="16" fillId="0" borderId="20" xfId="0" applyNumberFormat="1" applyFont="1" applyFill="1" applyBorder="1" applyAlignment="1" applyProtection="1">
      <alignment horizontal="center" vertical="top" wrapText="1"/>
    </xf>
    <xf numFmtId="0" fontId="14" fillId="0" borderId="24" xfId="0" applyNumberFormat="1" applyFont="1" applyFill="1" applyBorder="1" applyAlignment="1" applyProtection="1">
      <alignment horizontal="center" vertical="center"/>
    </xf>
    <xf numFmtId="4" fontId="17" fillId="0" borderId="42" xfId="0" applyNumberFormat="1" applyFont="1" applyFill="1" applyBorder="1" applyAlignment="1" applyProtection="1">
      <alignment horizontal="center" vertical="center" shrinkToFit="1"/>
    </xf>
    <xf numFmtId="4" fontId="17" fillId="0" borderId="43" xfId="0" applyNumberFormat="1" applyFont="1" applyFill="1" applyBorder="1" applyAlignment="1" applyProtection="1">
      <alignment horizontal="center" vertical="center" shrinkToFit="1"/>
    </xf>
    <xf numFmtId="4" fontId="17" fillId="0" borderId="93" xfId="0" applyNumberFormat="1" applyFont="1" applyFill="1" applyBorder="1" applyAlignment="1" applyProtection="1">
      <alignment horizontal="center" vertical="center" shrinkToFit="1"/>
    </xf>
    <xf numFmtId="0" fontId="17" fillId="0" borderId="42" xfId="0" applyNumberFormat="1" applyFont="1" applyFill="1" applyBorder="1" applyAlignment="1" applyProtection="1">
      <alignment horizontal="center" vertical="center"/>
    </xf>
    <xf numFmtId="0" fontId="17" fillId="0" borderId="43" xfId="0" applyNumberFormat="1" applyFont="1" applyFill="1" applyBorder="1" applyAlignment="1" applyProtection="1">
      <alignment horizontal="center" vertical="center"/>
    </xf>
    <xf numFmtId="0" fontId="17" fillId="0" borderId="44" xfId="0" applyNumberFormat="1" applyFont="1" applyFill="1" applyBorder="1" applyAlignment="1" applyProtection="1">
      <alignment horizontal="center" vertical="center"/>
    </xf>
    <xf numFmtId="4" fontId="16" fillId="0" borderId="35" xfId="0" applyNumberFormat="1" applyFont="1" applyFill="1" applyBorder="1" applyAlignment="1" applyProtection="1">
      <alignment horizontal="center" vertical="center" shrinkToFit="1"/>
    </xf>
    <xf numFmtId="4" fontId="16" fillId="0" borderId="82" xfId="0" applyNumberFormat="1" applyFont="1" applyFill="1" applyBorder="1" applyAlignment="1" applyProtection="1">
      <alignment horizontal="center" vertical="center" shrinkToFit="1"/>
    </xf>
    <xf numFmtId="4" fontId="16" fillId="0" borderId="34" xfId="0" applyNumberFormat="1" applyFont="1" applyFill="1" applyBorder="1" applyAlignment="1" applyProtection="1">
      <alignment horizontal="center" vertical="center" shrinkToFit="1"/>
    </xf>
    <xf numFmtId="4" fontId="16" fillId="5" borderId="18" xfId="0" applyNumberFormat="1" applyFont="1" applyFill="1" applyBorder="1" applyAlignment="1" applyProtection="1">
      <alignment horizontal="center" vertical="center" shrinkToFit="1"/>
    </xf>
    <xf numFmtId="4" fontId="16" fillId="5" borderId="19" xfId="0" applyNumberFormat="1" applyFont="1" applyFill="1" applyBorder="1" applyAlignment="1" applyProtection="1">
      <alignment horizontal="center" vertical="center" shrinkToFit="1"/>
    </xf>
    <xf numFmtId="4" fontId="17" fillId="0" borderId="94" xfId="0" applyNumberFormat="1" applyFont="1" applyFill="1" applyBorder="1" applyAlignment="1" applyProtection="1">
      <alignment horizontal="center" vertical="center" shrinkToFit="1"/>
    </xf>
    <xf numFmtId="4" fontId="17" fillId="0" borderId="16" xfId="0" applyNumberFormat="1" applyFont="1" applyFill="1" applyBorder="1" applyAlignment="1" applyProtection="1">
      <alignment horizontal="center" vertical="center" shrinkToFit="1"/>
    </xf>
    <xf numFmtId="4" fontId="17" fillId="0" borderId="95" xfId="0" applyNumberFormat="1" applyFont="1" applyFill="1" applyBorder="1" applyAlignment="1" applyProtection="1">
      <alignment horizontal="center" vertical="center" shrinkToFit="1"/>
    </xf>
    <xf numFmtId="0" fontId="14" fillId="0" borderId="78" xfId="0" applyNumberFormat="1" applyFont="1" applyFill="1" applyBorder="1" applyAlignment="1" applyProtection="1">
      <alignment horizontal="center" vertical="center"/>
    </xf>
    <xf numFmtId="4" fontId="16" fillId="0" borderId="78" xfId="0" applyNumberFormat="1" applyFont="1" applyFill="1" applyBorder="1" applyAlignment="1" applyProtection="1">
      <alignment horizontal="center" vertical="center" shrinkToFit="1"/>
    </xf>
    <xf numFmtId="4" fontId="17" fillId="0" borderId="130" xfId="0" applyNumberFormat="1" applyFont="1" applyFill="1" applyBorder="1" applyAlignment="1" applyProtection="1">
      <alignment horizontal="center" vertical="center" shrinkToFit="1"/>
    </xf>
    <xf numFmtId="4" fontId="17" fillId="0" borderId="122" xfId="0" applyNumberFormat="1" applyFont="1" applyFill="1" applyBorder="1" applyAlignment="1" applyProtection="1">
      <alignment horizontal="center" vertical="center" shrinkToFit="1"/>
    </xf>
    <xf numFmtId="0" fontId="16" fillId="0" borderId="22" xfId="0" applyNumberFormat="1" applyFont="1" applyFill="1" applyBorder="1" applyAlignment="1" applyProtection="1">
      <alignment horizontal="center" vertical="center" wrapText="1"/>
    </xf>
    <xf numFmtId="0" fontId="17" fillId="0" borderId="81" xfId="0" applyNumberFormat="1" applyFont="1" applyFill="1" applyBorder="1" applyAlignment="1" applyProtection="1">
      <alignment horizontal="center" vertical="center" wrapText="1"/>
    </xf>
    <xf numFmtId="0" fontId="17" fillId="0" borderId="83"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21"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wrapText="1"/>
    </xf>
    <xf numFmtId="0" fontId="41" fillId="0" borderId="11" xfId="0" applyNumberFormat="1" applyFont="1" applyFill="1" applyBorder="1" applyAlignment="1" applyProtection="1">
      <alignment horizontal="center" vertical="center" wrapText="1"/>
    </xf>
    <xf numFmtId="0" fontId="41" fillId="0" borderId="2" xfId="0" applyNumberFormat="1" applyFont="1" applyFill="1" applyBorder="1" applyAlignment="1" applyProtection="1">
      <alignment horizontal="center" vertical="center" wrapText="1"/>
    </xf>
    <xf numFmtId="0" fontId="41" fillId="0" borderId="9"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top" wrapText="1"/>
    </xf>
    <xf numFmtId="0" fontId="17" fillId="0" borderId="2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xf>
    <xf numFmtId="0" fontId="17" fillId="0" borderId="23"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xf>
    <xf numFmtId="0" fontId="16" fillId="0" borderId="50" xfId="0" applyNumberFormat="1" applyFont="1" applyFill="1" applyBorder="1" applyAlignment="1" applyProtection="1">
      <alignment horizontal="center" vertical="center" wrapText="1"/>
    </xf>
    <xf numFmtId="0" fontId="16" fillId="0" borderId="51" xfId="0" applyNumberFormat="1" applyFont="1" applyFill="1" applyBorder="1" applyAlignment="1" applyProtection="1">
      <alignment horizontal="center" vertical="center" wrapText="1"/>
    </xf>
    <xf numFmtId="0" fontId="16" fillId="0" borderId="96" xfId="0" applyNumberFormat="1" applyFont="1" applyFill="1" applyBorder="1" applyAlignment="1" applyProtection="1">
      <alignment horizontal="center" vertical="center" wrapText="1"/>
    </xf>
    <xf numFmtId="0" fontId="49" fillId="0" borderId="0" xfId="0" applyNumberFormat="1" applyFont="1" applyFill="1" applyBorder="1" applyAlignment="1" applyProtection="1">
      <alignment horizontal="center" vertical="top"/>
    </xf>
    <xf numFmtId="4" fontId="16" fillId="0" borderId="33" xfId="0" applyNumberFormat="1" applyFont="1" applyFill="1" applyBorder="1" applyAlignment="1" applyProtection="1">
      <alignment horizontal="center" vertical="center" shrinkToFit="1"/>
    </xf>
    <xf numFmtId="4" fontId="16" fillId="0" borderId="30" xfId="0" applyNumberFormat="1" applyFont="1" applyFill="1" applyBorder="1" applyAlignment="1" applyProtection="1">
      <alignment horizontal="center" vertical="center" shrinkToFit="1"/>
    </xf>
    <xf numFmtId="4" fontId="17" fillId="0" borderId="52" xfId="0" applyNumberFormat="1" applyFont="1" applyFill="1" applyBorder="1" applyAlignment="1" applyProtection="1">
      <alignment horizontal="center" vertical="center" shrinkToFit="1"/>
    </xf>
    <xf numFmtId="4" fontId="17" fillId="0" borderId="92" xfId="0" applyNumberFormat="1" applyFont="1" applyFill="1" applyBorder="1" applyAlignment="1" applyProtection="1">
      <alignment horizontal="center" vertical="center" shrinkToFit="1"/>
    </xf>
    <xf numFmtId="4" fontId="16" fillId="0" borderId="48" xfId="0" applyNumberFormat="1" applyFont="1" applyFill="1" applyBorder="1" applyAlignment="1" applyProtection="1">
      <alignment horizontal="center" vertical="center" shrinkToFit="1"/>
    </xf>
    <xf numFmtId="4" fontId="16" fillId="0" borderId="75" xfId="0" applyNumberFormat="1" applyFont="1" applyFill="1" applyBorder="1" applyAlignment="1" applyProtection="1">
      <alignment horizontal="center" vertical="center" shrinkToFit="1"/>
    </xf>
    <xf numFmtId="4" fontId="16" fillId="0" borderId="72" xfId="0" applyNumberFormat="1" applyFont="1" applyFill="1" applyBorder="1" applyAlignment="1" applyProtection="1">
      <alignment horizontal="center" vertical="center" shrinkToFit="1"/>
    </xf>
    <xf numFmtId="4" fontId="16" fillId="0" borderId="71" xfId="0" applyNumberFormat="1" applyFont="1" applyFill="1" applyBorder="1" applyAlignment="1" applyProtection="1">
      <alignment horizontal="center" vertical="center" shrinkToFit="1"/>
    </xf>
    <xf numFmtId="4" fontId="16" fillId="0" borderId="46" xfId="0" applyNumberFormat="1" applyFont="1" applyFill="1" applyBorder="1" applyAlignment="1" applyProtection="1">
      <alignment horizontal="center" vertical="center" shrinkToFit="1"/>
    </xf>
    <xf numFmtId="4" fontId="16" fillId="0" borderId="42" xfId="0" applyNumberFormat="1" applyFont="1" applyFill="1" applyBorder="1" applyAlignment="1" applyProtection="1">
      <alignment horizontal="center" vertical="center" shrinkToFit="1"/>
    </xf>
    <xf numFmtId="4" fontId="16" fillId="0" borderId="43" xfId="0" applyNumberFormat="1" applyFont="1" applyFill="1" applyBorder="1" applyAlignment="1" applyProtection="1">
      <alignment horizontal="center" vertical="center" shrinkToFit="1"/>
    </xf>
    <xf numFmtId="4" fontId="16" fillId="0" borderId="44" xfId="0" applyNumberFormat="1" applyFont="1" applyFill="1" applyBorder="1" applyAlignment="1" applyProtection="1">
      <alignment horizontal="center" vertical="center" shrinkToFit="1"/>
    </xf>
    <xf numFmtId="0" fontId="20" fillId="0" borderId="0" xfId="0" applyNumberFormat="1" applyFont="1" applyFill="1" applyBorder="1" applyAlignment="1" applyProtection="1">
      <alignment horizontal="left" vertical="center" indent="5"/>
    </xf>
    <xf numFmtId="0" fontId="14" fillId="0" borderId="71" xfId="0" applyNumberFormat="1" applyFont="1" applyFill="1" applyBorder="1" applyAlignment="1" applyProtection="1">
      <alignment horizontal="center" vertical="top"/>
    </xf>
    <xf numFmtId="0" fontId="14" fillId="0" borderId="30" xfId="0" applyNumberFormat="1" applyFont="1" applyFill="1" applyBorder="1" applyAlignment="1" applyProtection="1">
      <alignment horizontal="center" vertical="top"/>
    </xf>
    <xf numFmtId="0" fontId="14" fillId="0" borderId="46" xfId="0" applyNumberFormat="1" applyFont="1" applyFill="1" applyBorder="1" applyAlignment="1" applyProtection="1">
      <alignment horizontal="center" vertical="top"/>
    </xf>
    <xf numFmtId="0" fontId="14" fillId="0" borderId="29" xfId="0" applyNumberFormat="1" applyFont="1" applyFill="1" applyBorder="1" applyAlignment="1" applyProtection="1">
      <alignment horizontal="center" vertical="top"/>
    </xf>
    <xf numFmtId="4" fontId="17" fillId="0" borderId="5" xfId="0" applyNumberFormat="1" applyFont="1" applyFill="1" applyBorder="1" applyAlignment="1" applyProtection="1">
      <alignment horizontal="center" vertical="center" shrinkToFit="1"/>
    </xf>
    <xf numFmtId="0" fontId="14" fillId="0" borderId="0"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top" wrapText="1"/>
    </xf>
    <xf numFmtId="0" fontId="16" fillId="0" borderId="29" xfId="0" applyNumberFormat="1" applyFont="1" applyFill="1" applyBorder="1" applyAlignment="1" applyProtection="1">
      <alignment horizontal="center" vertical="center" wrapText="1"/>
    </xf>
    <xf numFmtId="0" fontId="16" fillId="0" borderId="30" xfId="0" applyNumberFormat="1" applyFont="1" applyFill="1" applyBorder="1" applyAlignment="1" applyProtection="1">
      <alignment horizontal="center" vertical="center" wrapText="1"/>
    </xf>
    <xf numFmtId="0" fontId="17" fillId="0" borderId="20" xfId="0" applyNumberFormat="1" applyFont="1" applyFill="1" applyBorder="1" applyAlignment="1" applyProtection="1">
      <alignment horizontal="center" vertical="center"/>
    </xf>
    <xf numFmtId="0" fontId="17" fillId="0" borderId="23" xfId="0" applyNumberFormat="1" applyFont="1" applyFill="1" applyBorder="1" applyAlignment="1" applyProtection="1">
      <alignment horizontal="center" vertical="center"/>
    </xf>
    <xf numFmtId="0" fontId="17" fillId="0" borderId="46" xfId="0" applyNumberFormat="1" applyFont="1" applyFill="1" applyBorder="1" applyAlignment="1" applyProtection="1">
      <alignment horizontal="center" vertical="center"/>
    </xf>
    <xf numFmtId="0" fontId="16" fillId="0" borderId="96" xfId="0" applyNumberFormat="1" applyFont="1" applyFill="1" applyBorder="1" applyAlignment="1" applyProtection="1">
      <alignment horizontal="center" vertical="top" wrapText="1"/>
    </xf>
    <xf numFmtId="0" fontId="44" fillId="0" borderId="50" xfId="0" applyNumberFormat="1" applyFont="1" applyFill="1" applyBorder="1" applyAlignment="1" applyProtection="1">
      <alignment horizontal="center" vertical="top"/>
    </xf>
    <xf numFmtId="0" fontId="44" fillId="0" borderId="51" xfId="0" applyNumberFormat="1" applyFont="1" applyFill="1" applyBorder="1" applyAlignment="1" applyProtection="1">
      <alignment horizontal="center" vertical="top"/>
    </xf>
    <xf numFmtId="0" fontId="14" fillId="0" borderId="35" xfId="0" applyNumberFormat="1" applyFont="1" applyFill="1" applyBorder="1" applyAlignment="1" applyProtection="1">
      <alignment horizontal="center" vertical="center" wrapText="1"/>
    </xf>
    <xf numFmtId="0" fontId="14" fillId="0" borderId="38" xfId="0" applyNumberFormat="1" applyFont="1" applyFill="1" applyBorder="1" applyAlignment="1" applyProtection="1">
      <alignment horizontal="center" vertical="center" wrapText="1"/>
    </xf>
    <xf numFmtId="0" fontId="14" fillId="0" borderId="36"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xf>
    <xf numFmtId="0" fontId="37" fillId="0" borderId="19" xfId="0" applyNumberFormat="1" applyFont="1" applyFill="1" applyBorder="1" applyAlignment="1" applyProtection="1">
      <alignment horizontal="center" vertical="center"/>
    </xf>
    <xf numFmtId="0" fontId="37" fillId="0" borderId="20" xfId="0" applyNumberFormat="1" applyFont="1" applyFill="1" applyBorder="1" applyAlignment="1" applyProtection="1">
      <alignment horizontal="center" vertical="center"/>
    </xf>
    <xf numFmtId="0" fontId="14" fillId="0" borderId="39" xfId="0" applyNumberFormat="1" applyFont="1" applyFill="1" applyBorder="1" applyAlignment="1" applyProtection="1">
      <alignment horizontal="center" vertical="center" wrapText="1"/>
    </xf>
    <xf numFmtId="0" fontId="37" fillId="0" borderId="40" xfId="0" applyNumberFormat="1" applyFont="1" applyFill="1" applyBorder="1" applyAlignment="1" applyProtection="1">
      <alignment horizontal="center" vertical="center" wrapText="1"/>
    </xf>
    <xf numFmtId="0" fontId="37" fillId="0" borderId="45" xfId="0" applyNumberFormat="1" applyFont="1" applyFill="1" applyBorder="1" applyAlignment="1" applyProtection="1">
      <alignment horizontal="center" vertical="center" wrapText="1"/>
    </xf>
    <xf numFmtId="0" fontId="14" fillId="0" borderId="34" xfId="0" applyNumberFormat="1" applyFont="1" applyFill="1" applyBorder="1" applyAlignment="1" applyProtection="1">
      <alignment horizontal="center" vertical="center" wrapText="1"/>
    </xf>
    <xf numFmtId="0" fontId="14" fillId="0" borderId="27" xfId="0" applyNumberFormat="1" applyFont="1" applyFill="1" applyBorder="1" applyAlignment="1" applyProtection="1">
      <alignment vertical="center"/>
    </xf>
    <xf numFmtId="0" fontId="14" fillId="0" borderId="31" xfId="0" applyNumberFormat="1" applyFont="1" applyFill="1" applyBorder="1" applyAlignment="1" applyProtection="1">
      <alignment vertical="center"/>
    </xf>
    <xf numFmtId="0" fontId="14" fillId="0" borderId="21" xfId="0" applyNumberFormat="1" applyFont="1" applyFill="1" applyBorder="1" applyAlignment="1" applyProtection="1">
      <alignment horizontal="center" vertical="center"/>
    </xf>
    <xf numFmtId="0" fontId="14" fillId="0" borderId="29"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0" fontId="37" fillId="0" borderId="22" xfId="0" applyNumberFormat="1" applyFont="1" applyFill="1" applyBorder="1" applyAlignment="1" applyProtection="1">
      <alignment horizontal="center" vertical="center"/>
    </xf>
    <xf numFmtId="0" fontId="37" fillId="0" borderId="23"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top" wrapText="1"/>
    </xf>
    <xf numFmtId="0" fontId="16" fillId="0" borderId="18" xfId="0" applyNumberFormat="1" applyFont="1" applyFill="1" applyBorder="1" applyAlignment="1" applyProtection="1">
      <alignment horizontal="center" vertical="top" wrapText="1"/>
    </xf>
    <xf numFmtId="0" fontId="16" fillId="0" borderId="21" xfId="0" applyNumberFormat="1" applyFont="1" applyFill="1" applyBorder="1" applyAlignment="1" applyProtection="1">
      <alignment horizontal="center" vertical="top" wrapText="1"/>
    </xf>
    <xf numFmtId="0" fontId="16" fillId="0" borderId="19" xfId="0" applyNumberFormat="1" applyFont="1" applyFill="1" applyBorder="1" applyAlignment="1" applyProtection="1">
      <alignment horizontal="left" vertical="top" wrapText="1"/>
    </xf>
    <xf numFmtId="0" fontId="16" fillId="0" borderId="22" xfId="0" applyNumberFormat="1" applyFont="1" applyFill="1" applyBorder="1" applyAlignment="1" applyProtection="1">
      <alignment horizontal="left" vertical="top" wrapText="1"/>
    </xf>
    <xf numFmtId="0" fontId="17" fillId="0" borderId="89"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17" fillId="0" borderId="88" xfId="0" applyNumberFormat="1" applyFont="1" applyFill="1" applyBorder="1" applyAlignment="1" applyProtection="1">
      <alignment horizontal="center" vertical="center"/>
    </xf>
    <xf numFmtId="0" fontId="17" fillId="0" borderId="76" xfId="0" applyNumberFormat="1" applyFont="1" applyFill="1" applyBorder="1" applyAlignment="1" applyProtection="1">
      <alignment horizontal="center" vertical="center"/>
    </xf>
    <xf numFmtId="0" fontId="16" fillId="0" borderId="17" xfId="0" applyNumberFormat="1" applyFont="1" applyFill="1" applyBorder="1" applyAlignment="1" applyProtection="1">
      <alignment horizontal="left" vertical="top" wrapText="1"/>
    </xf>
    <xf numFmtId="0" fontId="16" fillId="0" borderId="9" xfId="0" applyNumberFormat="1" applyFont="1" applyFill="1" applyBorder="1" applyAlignment="1" applyProtection="1">
      <alignment horizontal="left" vertical="top" wrapText="1"/>
    </xf>
    <xf numFmtId="0" fontId="14" fillId="0" borderId="25" xfId="0" applyNumberFormat="1" applyFont="1" applyFill="1" applyBorder="1" applyAlignment="1" applyProtection="1">
      <alignment horizontal="center" vertical="top"/>
    </xf>
    <xf numFmtId="0" fontId="14" fillId="0" borderId="26" xfId="0" applyNumberFormat="1" applyFont="1" applyFill="1" applyBorder="1" applyAlignment="1" applyProtection="1">
      <alignment horizontal="center" vertical="top"/>
    </xf>
    <xf numFmtId="0" fontId="14" fillId="0" borderId="72" xfId="0" applyNumberFormat="1" applyFont="1" applyFill="1" applyBorder="1" applyAlignment="1" applyProtection="1">
      <alignment horizontal="center" vertical="top" wrapText="1"/>
    </xf>
    <xf numFmtId="0" fontId="14" fillId="0" borderId="22" xfId="0" applyNumberFormat="1" applyFont="1" applyFill="1" applyBorder="1" applyAlignment="1" applyProtection="1">
      <alignment horizontal="center" vertical="top" wrapText="1"/>
    </xf>
    <xf numFmtId="0" fontId="14" fillId="0" borderId="78" xfId="0" applyNumberFormat="1" applyFont="1" applyFill="1" applyBorder="1" applyAlignment="1" applyProtection="1">
      <alignment horizontal="center" vertical="top"/>
    </xf>
    <xf numFmtId="168" fontId="16" fillId="0" borderId="15" xfId="0" applyNumberFormat="1" applyFont="1" applyFill="1" applyBorder="1" applyAlignment="1" applyProtection="1">
      <alignment horizontal="center" vertical="center"/>
    </xf>
    <xf numFmtId="168" fontId="16" fillId="0" borderId="16" xfId="0" applyNumberFormat="1" applyFont="1" applyFill="1" applyBorder="1" applyAlignment="1" applyProtection="1">
      <alignment horizontal="center" vertical="center"/>
    </xf>
    <xf numFmtId="0" fontId="17" fillId="0" borderId="82" xfId="0" applyNumberFormat="1" applyFont="1" applyFill="1" applyBorder="1" applyAlignment="1" applyProtection="1">
      <alignment horizontal="center" vertical="top" wrapText="1"/>
    </xf>
    <xf numFmtId="0" fontId="17" fillId="0" borderId="34" xfId="0" applyNumberFormat="1" applyFont="1" applyFill="1" applyBorder="1" applyAlignment="1" applyProtection="1">
      <alignment horizontal="center" vertical="top" wrapText="1"/>
    </xf>
    <xf numFmtId="0" fontId="14" fillId="0" borderId="23" xfId="0" applyNumberFormat="1" applyFont="1" applyFill="1" applyBorder="1" applyAlignment="1" applyProtection="1">
      <alignment horizontal="center" vertical="top" wrapText="1"/>
    </xf>
    <xf numFmtId="168" fontId="16" fillId="0" borderId="95" xfId="0" applyNumberFormat="1" applyFont="1" applyFill="1" applyBorder="1" applyAlignment="1" applyProtection="1">
      <alignment horizontal="center" vertical="center"/>
    </xf>
    <xf numFmtId="0" fontId="16" fillId="0" borderId="82" xfId="0" applyNumberFormat="1" applyFont="1" applyFill="1" applyBorder="1" applyAlignment="1" applyProtection="1">
      <alignment horizontal="center" vertical="top" wrapText="1"/>
    </xf>
    <xf numFmtId="0" fontId="16" fillId="0" borderId="34" xfId="0" applyNumberFormat="1" applyFont="1" applyFill="1" applyBorder="1" applyAlignment="1" applyProtection="1">
      <alignment horizontal="center" vertical="top" wrapText="1"/>
    </xf>
    <xf numFmtId="0" fontId="20" fillId="0" borderId="0" xfId="0" applyNumberFormat="1" applyFont="1" applyFill="1" applyBorder="1" applyAlignment="1" applyProtection="1">
      <alignment horizontal="left" vertical="center" wrapText="1" indent="4"/>
    </xf>
    <xf numFmtId="0" fontId="46" fillId="0" borderId="0" xfId="0" applyNumberFormat="1" applyFont="1" applyFill="1" applyBorder="1" applyAlignment="1" applyProtection="1">
      <alignment horizontal="left" vertical="top" wrapText="1"/>
    </xf>
    <xf numFmtId="0" fontId="20" fillId="0" borderId="0" xfId="0" applyNumberFormat="1" applyFont="1" applyFill="1" applyBorder="1" applyAlignment="1" applyProtection="1">
      <alignment horizontal="center" vertical="top"/>
    </xf>
    <xf numFmtId="0" fontId="20" fillId="0" borderId="0" xfId="0" applyNumberFormat="1" applyFont="1" applyFill="1" applyBorder="1" applyAlignment="1" applyProtection="1">
      <alignment horizontal="left" vertical="center" indent="3"/>
    </xf>
    <xf numFmtId="0" fontId="17" fillId="0" borderId="96" xfId="0" applyNumberFormat="1" applyFont="1" applyFill="1" applyBorder="1" applyAlignment="1" applyProtection="1">
      <alignment horizontal="center" vertical="top" wrapText="1"/>
    </xf>
    <xf numFmtId="0" fontId="45" fillId="0" borderId="50" xfId="0" applyNumberFormat="1" applyFont="1" applyFill="1" applyBorder="1" applyAlignment="1" applyProtection="1">
      <alignment horizontal="center" vertical="top"/>
    </xf>
    <xf numFmtId="0" fontId="45" fillId="0" borderId="51" xfId="0" applyNumberFormat="1" applyFont="1" applyFill="1" applyBorder="1" applyAlignment="1" applyProtection="1">
      <alignment horizontal="center" vertical="top"/>
    </xf>
    <xf numFmtId="0" fontId="39" fillId="0" borderId="0" xfId="0" applyNumberFormat="1" applyFont="1" applyFill="1" applyBorder="1" applyAlignment="1" applyProtection="1">
      <alignment vertical="top" wrapText="1"/>
    </xf>
    <xf numFmtId="0" fontId="17" fillId="0" borderId="165" xfId="0" applyNumberFormat="1" applyFont="1" applyFill="1" applyBorder="1" applyAlignment="1" applyProtection="1">
      <alignment horizontal="center" vertical="center" wrapText="1"/>
    </xf>
    <xf numFmtId="0" fontId="17" fillId="0" borderId="162" xfId="0" applyNumberFormat="1" applyFont="1" applyFill="1" applyBorder="1" applyAlignment="1" applyProtection="1">
      <alignment horizontal="center" vertical="center" wrapText="1"/>
    </xf>
    <xf numFmtId="0" fontId="17" fillId="0" borderId="166" xfId="0" applyNumberFormat="1" applyFont="1" applyFill="1" applyBorder="1" applyAlignment="1" applyProtection="1">
      <alignment horizontal="center" vertical="center" wrapText="1"/>
    </xf>
    <xf numFmtId="0" fontId="16" fillId="0" borderId="165" xfId="0" applyNumberFormat="1" applyFont="1" applyFill="1" applyBorder="1" applyAlignment="1" applyProtection="1">
      <alignment horizontal="center" vertical="center" wrapText="1"/>
    </xf>
    <xf numFmtId="0" fontId="16" fillId="0" borderId="162" xfId="0" applyNumberFormat="1" applyFont="1" applyFill="1" applyBorder="1" applyAlignment="1" applyProtection="1">
      <alignment horizontal="center" vertical="center" wrapText="1"/>
    </xf>
    <xf numFmtId="0" fontId="16" fillId="0" borderId="163" xfId="0" applyNumberFormat="1" applyFont="1" applyFill="1" applyBorder="1" applyAlignment="1" applyProtection="1">
      <alignment horizontal="center" vertical="center" wrapText="1"/>
    </xf>
    <xf numFmtId="0" fontId="16" fillId="0" borderId="157" xfId="0" applyNumberFormat="1" applyFont="1" applyFill="1" applyBorder="1" applyAlignment="1" applyProtection="1">
      <alignment horizontal="center" vertical="center" wrapText="1"/>
    </xf>
    <xf numFmtId="0" fontId="14" fillId="0" borderId="81" xfId="0" applyNumberFormat="1" applyFont="1" applyFill="1" applyBorder="1" applyAlignment="1" applyProtection="1">
      <alignment horizontal="center" vertical="center" wrapText="1"/>
    </xf>
    <xf numFmtId="0" fontId="14" fillId="0" borderId="84" xfId="0" applyNumberFormat="1" applyFont="1" applyFill="1" applyBorder="1" applyAlignment="1" applyProtection="1">
      <alignment horizontal="center" vertical="top"/>
    </xf>
    <xf numFmtId="0" fontId="14" fillId="0" borderId="28" xfId="0" applyNumberFormat="1" applyFont="1" applyFill="1" applyBorder="1" applyAlignment="1" applyProtection="1">
      <alignment horizontal="center" vertical="top"/>
    </xf>
    <xf numFmtId="4" fontId="16" fillId="0" borderId="81" xfId="0" applyNumberFormat="1" applyFont="1" applyFill="1" applyBorder="1" applyAlignment="1" applyProtection="1">
      <alignment horizontal="center" vertical="center" shrinkToFit="1"/>
    </xf>
    <xf numFmtId="4" fontId="16" fillId="0" borderId="84" xfId="0" applyNumberFormat="1" applyFont="1" applyFill="1" applyBorder="1" applyAlignment="1" applyProtection="1">
      <alignment horizontal="center" vertical="center" shrinkToFit="1"/>
    </xf>
    <xf numFmtId="4" fontId="16" fillId="0" borderId="28" xfId="0" applyNumberFormat="1" applyFont="1" applyFill="1" applyBorder="1" applyAlignment="1" applyProtection="1">
      <alignment horizontal="center" vertical="center" shrinkToFit="1"/>
    </xf>
    <xf numFmtId="0" fontId="14" fillId="0" borderId="84" xfId="0" applyNumberFormat="1" applyFont="1" applyFill="1" applyBorder="1" applyAlignment="1" applyProtection="1">
      <alignment horizontal="center" vertical="top" wrapText="1"/>
    </xf>
    <xf numFmtId="0" fontId="14" fillId="0" borderId="28" xfId="0" applyNumberFormat="1" applyFont="1" applyFill="1" applyBorder="1" applyAlignment="1" applyProtection="1">
      <alignment horizontal="center" vertical="top" wrapText="1"/>
    </xf>
    <xf numFmtId="0" fontId="16" fillId="0" borderId="84" xfId="0" applyNumberFormat="1" applyFont="1" applyFill="1" applyBorder="1" applyAlignment="1" applyProtection="1">
      <alignment horizontal="left" vertical="center" wrapText="1"/>
    </xf>
    <xf numFmtId="0" fontId="16" fillId="0" borderId="28" xfId="0" applyNumberFormat="1" applyFont="1" applyFill="1" applyBorder="1" applyAlignment="1" applyProtection="1">
      <alignment horizontal="left" vertical="center" wrapText="1"/>
    </xf>
    <xf numFmtId="0" fontId="17" fillId="0" borderId="43" xfId="0" applyNumberFormat="1" applyFont="1" applyFill="1" applyBorder="1" applyAlignment="1" applyProtection="1">
      <alignment horizontal="right" vertical="center" wrapText="1"/>
    </xf>
    <xf numFmtId="0" fontId="44" fillId="0" borderId="52" xfId="0" applyNumberFormat="1" applyFont="1" applyFill="1" applyBorder="1" applyAlignment="1" applyProtection="1">
      <alignment horizontal="right" vertical="center" wrapText="1"/>
    </xf>
    <xf numFmtId="4" fontId="17" fillId="0" borderId="44" xfId="0" applyNumberFormat="1" applyFont="1" applyFill="1" applyBorder="1" applyAlignment="1" applyProtection="1">
      <alignment horizontal="center" vertical="center" shrinkToFit="1"/>
    </xf>
    <xf numFmtId="0" fontId="20" fillId="0" borderId="0" xfId="0" applyNumberFormat="1" applyFont="1" applyFill="1" applyBorder="1" applyAlignment="1" applyProtection="1">
      <alignment horizontal="left" vertical="center" wrapText="1" indent="5"/>
    </xf>
    <xf numFmtId="0" fontId="14" fillId="0" borderId="16" xfId="0" applyNumberFormat="1" applyFont="1" applyFill="1" applyBorder="1" applyAlignment="1" applyProtection="1">
      <alignment horizontal="center" vertical="top"/>
    </xf>
    <xf numFmtId="0" fontId="14" fillId="0" borderId="95" xfId="0" applyNumberFormat="1" applyFont="1" applyFill="1" applyBorder="1" applyAlignment="1" applyProtection="1">
      <alignment horizontal="center" vertical="top"/>
    </xf>
    <xf numFmtId="0" fontId="14" fillId="0" borderId="16" xfId="0" applyNumberFormat="1" applyFont="1" applyFill="1" applyBorder="1" applyAlignment="1" applyProtection="1">
      <alignment horizontal="center" vertical="top" wrapText="1"/>
    </xf>
    <xf numFmtId="0" fontId="14" fillId="0" borderId="95" xfId="0" applyNumberFormat="1" applyFont="1" applyFill="1" applyBorder="1" applyAlignment="1" applyProtection="1">
      <alignment horizontal="center" vertical="top" wrapText="1"/>
    </xf>
    <xf numFmtId="0" fontId="16" fillId="0" borderId="3" xfId="0" applyNumberFormat="1" applyFont="1" applyFill="1" applyBorder="1" applyAlignment="1" applyProtection="1">
      <alignment horizontal="center" vertical="center" wrapText="1"/>
    </xf>
    <xf numFmtId="0" fontId="37" fillId="0" borderId="84" xfId="0" applyNumberFormat="1" applyFont="1" applyFill="1" applyBorder="1" applyAlignment="1" applyProtection="1">
      <alignment horizontal="center" vertical="top"/>
    </xf>
    <xf numFmtId="0" fontId="14" fillId="0" borderId="25" xfId="0" applyNumberFormat="1" applyFont="1" applyFill="1" applyBorder="1" applyAlignment="1" applyProtection="1">
      <alignment horizontal="center" vertical="top" wrapText="1"/>
    </xf>
    <xf numFmtId="0" fontId="14" fillId="0" borderId="26" xfId="0" applyNumberFormat="1" applyFont="1" applyFill="1" applyBorder="1" applyAlignment="1" applyProtection="1">
      <alignment horizontal="center" vertical="top" wrapText="1"/>
    </xf>
    <xf numFmtId="0" fontId="16" fillId="0" borderId="33" xfId="0" applyNumberFormat="1" applyFont="1" applyFill="1" applyBorder="1" applyAlignment="1" applyProtection="1">
      <alignment horizontal="left" vertical="center" wrapText="1"/>
    </xf>
    <xf numFmtId="0" fontId="44" fillId="0" borderId="88" xfId="0" applyNumberFormat="1" applyFont="1" applyFill="1" applyBorder="1" applyAlignment="1" applyProtection="1">
      <alignment horizontal="left" vertical="center"/>
    </xf>
    <xf numFmtId="0" fontId="17" fillId="0" borderId="19" xfId="0" applyNumberFormat="1" applyFont="1" applyFill="1" applyBorder="1" applyAlignment="1" applyProtection="1">
      <alignment horizontal="center" vertical="center"/>
    </xf>
    <xf numFmtId="0" fontId="45" fillId="0" borderId="81" xfId="0" applyNumberFormat="1" applyFont="1" applyFill="1" applyBorder="1" applyAlignment="1" applyProtection="1">
      <alignment horizontal="center" vertical="center"/>
    </xf>
    <xf numFmtId="0" fontId="45" fillId="0" borderId="22" xfId="0" applyNumberFormat="1" applyFont="1" applyFill="1" applyBorder="1" applyAlignment="1" applyProtection="1">
      <alignment horizontal="center" vertical="center"/>
    </xf>
    <xf numFmtId="0" fontId="45" fillId="0" borderId="83"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wrapText="1"/>
    </xf>
    <xf numFmtId="0" fontId="14" fillId="0" borderId="23"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xf>
    <xf numFmtId="0" fontId="16" fillId="0" borderId="30" xfId="0" applyNumberFormat="1" applyFont="1" applyFill="1" applyBorder="1" applyAlignment="1" applyProtection="1">
      <alignment horizontal="left" vertical="center" wrapText="1"/>
    </xf>
    <xf numFmtId="0" fontId="44" fillId="0" borderId="87" xfId="0" applyNumberFormat="1" applyFont="1" applyFill="1" applyBorder="1" applyAlignment="1" applyProtection="1">
      <alignment horizontal="left" vertical="center"/>
    </xf>
    <xf numFmtId="0" fontId="16" fillId="0" borderId="19" xfId="0" applyNumberFormat="1" applyFont="1" applyFill="1" applyBorder="1" applyAlignment="1" applyProtection="1">
      <alignment horizontal="left" vertical="center" wrapText="1"/>
    </xf>
    <xf numFmtId="0" fontId="44" fillId="0" borderId="81" xfId="0" applyNumberFormat="1" applyFont="1" applyFill="1" applyBorder="1" applyAlignment="1" applyProtection="1">
      <alignment horizontal="left" vertical="center"/>
    </xf>
    <xf numFmtId="0" fontId="16" fillId="0" borderId="22" xfId="0" applyNumberFormat="1" applyFont="1" applyFill="1" applyBorder="1" applyAlignment="1" applyProtection="1">
      <alignment horizontal="left" vertical="center" wrapText="1"/>
    </xf>
    <xf numFmtId="0" fontId="44" fillId="0" borderId="83" xfId="0" applyNumberFormat="1" applyFont="1" applyFill="1" applyBorder="1" applyAlignment="1" applyProtection="1">
      <alignment horizontal="left" vertical="center"/>
    </xf>
    <xf numFmtId="0" fontId="17" fillId="0" borderId="16" xfId="0" applyNumberFormat="1" applyFont="1" applyFill="1" applyBorder="1" applyAlignment="1" applyProtection="1">
      <alignment horizontal="right" vertical="center"/>
    </xf>
    <xf numFmtId="0" fontId="17" fillId="0" borderId="17" xfId="0" applyNumberFormat="1" applyFont="1" applyFill="1" applyBorder="1" applyAlignment="1" applyProtection="1">
      <alignment horizontal="right" vertical="center"/>
    </xf>
    <xf numFmtId="0" fontId="16" fillId="0" borderId="22" xfId="0" applyNumberFormat="1" applyFont="1" applyFill="1" applyBorder="1" applyAlignment="1" applyProtection="1">
      <alignment vertical="center" wrapText="1"/>
    </xf>
    <xf numFmtId="0" fontId="16" fillId="0" borderId="83" xfId="0" applyNumberFormat="1" applyFont="1" applyFill="1" applyBorder="1" applyAlignment="1" applyProtection="1">
      <alignment vertical="center" wrapText="1"/>
    </xf>
    <xf numFmtId="0" fontId="16" fillId="0" borderId="25" xfId="0" applyNumberFormat="1" applyFont="1" applyFill="1" applyBorder="1" applyAlignment="1" applyProtection="1">
      <alignment vertical="center" wrapText="1"/>
    </xf>
    <xf numFmtId="0" fontId="16" fillId="0" borderId="84" xfId="0" applyNumberFormat="1" applyFont="1" applyFill="1" applyBorder="1" applyAlignment="1" applyProtection="1">
      <alignment vertical="center" wrapText="1"/>
    </xf>
    <xf numFmtId="0" fontId="14" fillId="0" borderId="30" xfId="0" applyNumberFormat="1" applyFont="1" applyFill="1" applyBorder="1" applyAlignment="1" applyProtection="1">
      <alignment horizontal="center" vertical="center"/>
    </xf>
    <xf numFmtId="0" fontId="37" fillId="0" borderId="87" xfId="0" applyNumberFormat="1" applyFont="1" applyFill="1" applyBorder="1" applyAlignment="1" applyProtection="1">
      <alignment horizontal="center" vertical="center"/>
    </xf>
    <xf numFmtId="0" fontId="14" fillId="0" borderId="30" xfId="0" applyNumberFormat="1" applyFont="1" applyFill="1" applyBorder="1" applyAlignment="1" applyProtection="1">
      <alignment horizontal="center" vertical="center" wrapText="1"/>
    </xf>
    <xf numFmtId="0" fontId="37" fillId="0" borderId="87"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vertical="center" wrapText="1"/>
    </xf>
    <xf numFmtId="0" fontId="44" fillId="0" borderId="81" xfId="0" applyNumberFormat="1" applyFont="1" applyFill="1" applyBorder="1" applyAlignment="1" applyProtection="1">
      <alignment vertical="center" wrapText="1"/>
    </xf>
    <xf numFmtId="0" fontId="44" fillId="0" borderId="17" xfId="0" applyNumberFormat="1" applyFont="1" applyFill="1" applyBorder="1" applyAlignment="1" applyProtection="1">
      <alignment horizontal="right" vertical="center"/>
    </xf>
    <xf numFmtId="0" fontId="14" fillId="0" borderId="19" xfId="0" applyNumberFormat="1" applyFont="1" applyFill="1" applyBorder="1" applyAlignment="1" applyProtection="1">
      <alignment horizontal="center" vertical="center" wrapText="1"/>
    </xf>
    <xf numFmtId="0" fontId="14" fillId="0" borderId="20" xfId="0" applyNumberFormat="1" applyFont="1" applyFill="1" applyBorder="1" applyAlignment="1" applyProtection="1">
      <alignment horizontal="center" vertical="center" wrapText="1"/>
    </xf>
    <xf numFmtId="0" fontId="16" fillId="0" borderId="84" xfId="0" applyNumberFormat="1" applyFont="1" applyFill="1" applyBorder="1" applyAlignment="1" applyProtection="1">
      <alignment horizontal="center" vertical="center" wrapText="1"/>
    </xf>
    <xf numFmtId="0" fontId="16" fillId="0" borderId="28" xfId="0" applyNumberFormat="1" applyFont="1" applyFill="1" applyBorder="1" applyAlignment="1" applyProtection="1">
      <alignment horizontal="center" vertical="center" wrapText="1"/>
    </xf>
    <xf numFmtId="0" fontId="20" fillId="0" borderId="19" xfId="0" applyNumberFormat="1" applyFont="1" applyFill="1" applyBorder="1" applyAlignment="1" applyProtection="1">
      <alignment horizontal="center" vertical="center"/>
    </xf>
    <xf numFmtId="0" fontId="48" fillId="0" borderId="81" xfId="0" applyNumberFormat="1" applyFont="1" applyFill="1" applyBorder="1" applyAlignment="1" applyProtection="1">
      <alignment horizontal="center" vertical="center"/>
    </xf>
    <xf numFmtId="0" fontId="20" fillId="0" borderId="22" xfId="0" applyNumberFormat="1" applyFont="1" applyFill="1" applyBorder="1" applyAlignment="1" applyProtection="1">
      <alignment horizontal="center" vertical="center"/>
    </xf>
    <xf numFmtId="0" fontId="48" fillId="0" borderId="83" xfId="0" applyNumberFormat="1" applyFont="1" applyFill="1" applyBorder="1" applyAlignment="1" applyProtection="1">
      <alignment horizontal="center" vertical="center"/>
    </xf>
    <xf numFmtId="0" fontId="17" fillId="0" borderId="72"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xf>
    <xf numFmtId="4" fontId="17" fillId="0" borderId="15" xfId="0" applyNumberFormat="1" applyFont="1" applyFill="1" applyBorder="1" applyAlignment="1" applyProtection="1">
      <alignment horizontal="center" vertical="center" shrinkToFit="1"/>
    </xf>
    <xf numFmtId="0" fontId="17" fillId="0" borderId="85" xfId="0" applyNumberFormat="1" applyFont="1" applyFill="1" applyBorder="1" applyAlignment="1" applyProtection="1">
      <alignment horizontal="center" vertical="top"/>
    </xf>
    <xf numFmtId="0" fontId="17" fillId="0" borderId="19" xfId="0" applyNumberFormat="1" applyFont="1" applyFill="1" applyBorder="1" applyAlignment="1" applyProtection="1">
      <alignment horizontal="center" vertical="top"/>
    </xf>
    <xf numFmtId="0" fontId="17" fillId="0" borderId="20" xfId="0" applyNumberFormat="1" applyFont="1" applyFill="1" applyBorder="1" applyAlignment="1" applyProtection="1">
      <alignment horizontal="center" vertical="top"/>
    </xf>
    <xf numFmtId="0" fontId="16" fillId="0" borderId="23" xfId="0" applyNumberFormat="1" applyFont="1" applyFill="1" applyBorder="1" applyAlignment="1" applyProtection="1">
      <alignment horizontal="center" vertical="center" wrapText="1"/>
    </xf>
    <xf numFmtId="0" fontId="16" fillId="0" borderId="93" xfId="0" applyNumberFormat="1" applyFont="1" applyFill="1" applyBorder="1" applyAlignment="1" applyProtection="1">
      <alignment horizontal="center" vertical="center" wrapText="1"/>
    </xf>
    <xf numFmtId="0" fontId="16" fillId="0" borderId="43" xfId="0" applyNumberFormat="1" applyFont="1" applyFill="1" applyBorder="1" applyAlignment="1" applyProtection="1">
      <alignment horizontal="center" vertical="center" wrapText="1"/>
    </xf>
    <xf numFmtId="0" fontId="16" fillId="0" borderId="44" xfId="0" applyNumberFormat="1" applyFont="1" applyFill="1" applyBorder="1" applyAlignment="1" applyProtection="1">
      <alignment horizontal="center" vertical="center" wrapText="1"/>
    </xf>
    <xf numFmtId="0" fontId="16" fillId="0" borderId="42" xfId="0" applyNumberFormat="1" applyFont="1" applyFill="1" applyBorder="1" applyAlignment="1" applyProtection="1">
      <alignment horizontal="center" vertical="center" wrapText="1"/>
    </xf>
    <xf numFmtId="0" fontId="17" fillId="0" borderId="30" xfId="0" applyNumberFormat="1" applyFont="1" applyFill="1" applyBorder="1" applyAlignment="1" applyProtection="1">
      <alignment horizontal="center" vertical="center"/>
    </xf>
    <xf numFmtId="0" fontId="17" fillId="0" borderId="42" xfId="0" applyNumberFormat="1" applyFont="1" applyFill="1" applyBorder="1" applyAlignment="1" applyProtection="1">
      <alignment horizontal="center" vertical="center" wrapText="1"/>
    </xf>
    <xf numFmtId="0" fontId="17" fillId="0" borderId="43" xfId="0" applyNumberFormat="1" applyFont="1" applyFill="1" applyBorder="1" applyAlignment="1" applyProtection="1">
      <alignment horizontal="center" vertical="center" wrapText="1"/>
    </xf>
    <xf numFmtId="0" fontId="17" fillId="0" borderId="44" xfId="0" applyNumberFormat="1" applyFont="1" applyFill="1" applyBorder="1" applyAlignment="1" applyProtection="1">
      <alignment horizontal="center" vertical="center" wrapText="1"/>
    </xf>
    <xf numFmtId="0" fontId="17" fillId="0" borderId="81" xfId="0" applyNumberFormat="1" applyFont="1" applyFill="1" applyBorder="1" applyAlignment="1" applyProtection="1">
      <alignment horizontal="center" vertical="center"/>
    </xf>
    <xf numFmtId="0" fontId="17" fillId="0" borderId="83"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left" vertical="top" wrapText="1"/>
    </xf>
    <xf numFmtId="4" fontId="17" fillId="0" borderId="159" xfId="0" applyNumberFormat="1" applyFont="1" applyBorder="1" applyAlignment="1">
      <alignment horizontal="center" vertical="center" shrinkToFit="1"/>
    </xf>
    <xf numFmtId="0" fontId="16" fillId="0" borderId="30" xfId="0" applyNumberFormat="1" applyFont="1" applyFill="1" applyBorder="1" applyAlignment="1" applyProtection="1">
      <alignment horizontal="center" vertical="top" wrapText="1"/>
    </xf>
    <xf numFmtId="0" fontId="16" fillId="0" borderId="46" xfId="0" applyNumberFormat="1" applyFont="1" applyFill="1" applyBorder="1" applyAlignment="1" applyProtection="1">
      <alignment horizontal="center" vertical="top" wrapText="1"/>
    </xf>
    <xf numFmtId="0" fontId="17" fillId="0" borderId="30" xfId="0" applyFont="1" applyBorder="1" applyAlignment="1">
      <alignment horizontal="center" wrapText="1"/>
    </xf>
    <xf numFmtId="0" fontId="0" fillId="0" borderId="25" xfId="0" applyFont="1" applyBorder="1" applyAlignment="1">
      <alignment horizontal="center"/>
    </xf>
    <xf numFmtId="4" fontId="16" fillId="0" borderId="33" xfId="0" applyNumberFormat="1" applyFont="1" applyBorder="1" applyAlignment="1">
      <alignment horizontal="center" vertical="center" shrinkToFit="1"/>
    </xf>
    <xf numFmtId="4" fontId="16" fillId="0" borderId="48" xfId="0" applyNumberFormat="1" applyFont="1" applyBorder="1" applyAlignment="1">
      <alignment horizontal="center" vertical="center" shrinkToFit="1"/>
    </xf>
    <xf numFmtId="4" fontId="16" fillId="0" borderId="87" xfId="0" applyNumberFormat="1" applyFont="1" applyBorder="1" applyAlignment="1">
      <alignment horizontal="center" vertical="center" shrinkToFit="1"/>
    </xf>
    <xf numFmtId="4" fontId="16" fillId="0" borderId="69" xfId="0" applyNumberFormat="1" applyFont="1" applyBorder="1" applyAlignment="1">
      <alignment horizontal="center" vertical="center" shrinkToFit="1"/>
    </xf>
    <xf numFmtId="4" fontId="16" fillId="0" borderId="31" xfId="0" applyNumberFormat="1" applyFont="1" applyBorder="1" applyAlignment="1">
      <alignment horizontal="center" vertical="center" shrinkToFit="1"/>
    </xf>
    <xf numFmtId="4" fontId="17" fillId="0" borderId="160" xfId="0" applyNumberFormat="1" applyFont="1" applyBorder="1" applyAlignment="1">
      <alignment horizontal="center" vertical="center" shrinkToFit="1"/>
    </xf>
    <xf numFmtId="4" fontId="16" fillId="0" borderId="71" xfId="0" applyNumberFormat="1" applyFont="1" applyBorder="1" applyAlignment="1">
      <alignment horizontal="center" vertical="center" shrinkToFit="1"/>
    </xf>
    <xf numFmtId="4" fontId="16" fillId="0" borderId="83" xfId="0" applyNumberFormat="1" applyFont="1" applyBorder="1" applyAlignment="1">
      <alignment horizontal="center" vertical="center" shrinkToFit="1"/>
    </xf>
    <xf numFmtId="4" fontId="16" fillId="0" borderId="68" xfId="0" applyNumberFormat="1" applyFont="1" applyBorder="1" applyAlignment="1">
      <alignment horizontal="center" vertical="center" shrinkToFit="1"/>
    </xf>
    <xf numFmtId="4" fontId="16" fillId="0" borderId="72" xfId="0" applyNumberFormat="1" applyFont="1" applyBorder="1" applyAlignment="1">
      <alignment horizontal="center" vertical="center" shrinkToFit="1"/>
    </xf>
    <xf numFmtId="4" fontId="16" fillId="0" borderId="27" xfId="0" applyNumberFormat="1" applyFont="1" applyBorder="1" applyAlignment="1">
      <alignment horizontal="center" vertical="center" shrinkToFit="1"/>
    </xf>
    <xf numFmtId="0" fontId="16" fillId="0" borderId="83" xfId="0" applyNumberFormat="1" applyFont="1" applyFill="1" applyBorder="1" applyAlignment="1" applyProtection="1">
      <alignment horizontal="left" vertical="center" wrapText="1"/>
    </xf>
    <xf numFmtId="0" fontId="16" fillId="0" borderId="27" xfId="0" applyNumberFormat="1" applyFont="1" applyFill="1" applyBorder="1" applyAlignment="1" applyProtection="1">
      <alignment horizontal="left" vertical="center" wrapText="1"/>
    </xf>
    <xf numFmtId="4" fontId="16" fillId="0" borderId="83" xfId="0" applyNumberFormat="1" applyFont="1" applyFill="1" applyBorder="1" applyAlignment="1" applyProtection="1">
      <alignment horizontal="center" vertical="center" shrinkToFit="1"/>
    </xf>
    <xf numFmtId="4" fontId="16" fillId="0" borderId="27" xfId="0" applyNumberFormat="1" applyFont="1" applyFill="1" applyBorder="1" applyAlignment="1" applyProtection="1">
      <alignment horizontal="center" vertical="center" shrinkToFit="1"/>
    </xf>
    <xf numFmtId="4" fontId="16" fillId="0" borderId="83" xfId="0" applyNumberFormat="1" applyFont="1" applyFill="1" applyBorder="1" applyAlignment="1" applyProtection="1">
      <alignment horizontal="center" vertical="center" wrapText="1" shrinkToFit="1"/>
    </xf>
    <xf numFmtId="4" fontId="16" fillId="0" borderId="81" xfId="0" applyNumberFormat="1" applyFont="1" applyFill="1" applyBorder="1" applyAlignment="1" applyProtection="1">
      <alignment horizontal="center" vertical="center" wrapText="1" shrinkToFit="1"/>
    </xf>
    <xf numFmtId="4" fontId="17" fillId="0" borderId="43" xfId="0" applyNumberFormat="1" applyFont="1" applyFill="1" applyBorder="1" applyAlignment="1" applyProtection="1">
      <alignment horizontal="center" vertical="center" wrapText="1" shrinkToFit="1"/>
    </xf>
    <xf numFmtId="0" fontId="17" fillId="0" borderId="52" xfId="0" applyNumberFormat="1" applyFont="1" applyFill="1" applyBorder="1" applyAlignment="1" applyProtection="1">
      <alignment horizontal="center" vertical="center" wrapText="1"/>
    </xf>
    <xf numFmtId="0" fontId="14" fillId="0" borderId="85" xfId="0" applyNumberFormat="1" applyFont="1" applyFill="1" applyBorder="1" applyAlignment="1" applyProtection="1">
      <alignment horizontal="center" vertical="center" wrapText="1"/>
    </xf>
    <xf numFmtId="4" fontId="16" fillId="0" borderId="29" xfId="0" applyNumberFormat="1" applyFont="1" applyFill="1" applyBorder="1" applyAlignment="1" applyProtection="1">
      <alignment horizontal="center" vertical="center" shrinkToFit="1"/>
    </xf>
    <xf numFmtId="4" fontId="16" fillId="0" borderId="85" xfId="0" applyNumberFormat="1" applyFont="1" applyFill="1" applyBorder="1" applyAlignment="1" applyProtection="1">
      <alignment horizontal="center" vertical="center" shrinkToFit="1"/>
    </xf>
    <xf numFmtId="0" fontId="16" fillId="0" borderId="23" xfId="0" applyNumberFormat="1" applyFont="1" applyFill="1" applyBorder="1" applyAlignment="1" applyProtection="1">
      <alignment horizontal="left" vertical="center" wrapText="1"/>
    </xf>
    <xf numFmtId="0" fontId="17" fillId="0" borderId="19" xfId="0" applyNumberFormat="1" applyFont="1" applyFill="1" applyBorder="1" applyAlignment="1" applyProtection="1">
      <alignment horizontal="center" vertical="center" wrapText="1"/>
    </xf>
    <xf numFmtId="0" fontId="17" fillId="0" borderId="30" xfId="0" applyNumberFormat="1" applyFont="1" applyFill="1" applyBorder="1" applyAlignment="1" applyProtection="1">
      <alignment horizontal="center" vertical="center" wrapText="1"/>
    </xf>
    <xf numFmtId="0" fontId="17" fillId="0" borderId="46" xfId="0" applyNumberFormat="1" applyFont="1" applyFill="1" applyBorder="1" applyAlignment="1" applyProtection="1">
      <alignment horizontal="center" vertical="center" wrapText="1"/>
    </xf>
    <xf numFmtId="0" fontId="14" fillId="0" borderId="84" xfId="0" applyNumberFormat="1" applyFont="1" applyFill="1" applyBorder="1" applyAlignment="1" applyProtection="1">
      <alignment horizontal="center" vertical="center"/>
    </xf>
    <xf numFmtId="0" fontId="14" fillId="0" borderId="28" xfId="0" applyNumberFormat="1" applyFont="1" applyFill="1" applyBorder="1" applyAlignment="1" applyProtection="1">
      <alignment horizontal="center" vertical="center"/>
    </xf>
    <xf numFmtId="0" fontId="17" fillId="0" borderId="52" xfId="0" applyNumberFormat="1" applyFont="1" applyFill="1" applyBorder="1" applyAlignment="1" applyProtection="1">
      <alignment horizontal="right" vertical="center"/>
    </xf>
    <xf numFmtId="0" fontId="17" fillId="0" borderId="5" xfId="0" applyNumberFormat="1" applyFont="1" applyFill="1" applyBorder="1" applyAlignment="1" applyProtection="1">
      <alignment horizontal="right" vertical="center"/>
    </xf>
    <xf numFmtId="0" fontId="16" fillId="0" borderId="20" xfId="0" applyNumberFormat="1" applyFont="1" applyFill="1" applyBorder="1" applyAlignment="1" applyProtection="1">
      <alignment horizontal="left" vertical="center" wrapText="1"/>
    </xf>
    <xf numFmtId="4" fontId="17" fillId="0" borderId="16" xfId="0" applyNumberFormat="1" applyFont="1" applyFill="1" applyBorder="1" applyAlignment="1" applyProtection="1">
      <alignment horizontal="center" vertical="center" wrapText="1" shrinkToFit="1"/>
    </xf>
    <xf numFmtId="0" fontId="17" fillId="0" borderId="87" xfId="0" applyNumberFormat="1" applyFont="1" applyFill="1" applyBorder="1" applyAlignment="1" applyProtection="1">
      <alignment horizontal="center" vertical="center" wrapText="1"/>
    </xf>
    <xf numFmtId="0" fontId="16" fillId="0" borderId="88" xfId="0" applyNumberFormat="1" applyFont="1" applyFill="1" applyBorder="1" applyAlignment="1" applyProtection="1">
      <alignment horizontal="left" vertical="center" wrapText="1"/>
    </xf>
    <xf numFmtId="0" fontId="16" fillId="0" borderId="25" xfId="0" applyNumberFormat="1" applyFont="1" applyFill="1" applyBorder="1" applyAlignment="1" applyProtection="1">
      <alignment horizontal="left" vertical="center" wrapText="1"/>
    </xf>
    <xf numFmtId="0" fontId="17" fillId="0" borderId="43" xfId="0" applyNumberFormat="1" applyFont="1" applyFill="1" applyBorder="1" applyAlignment="1" applyProtection="1">
      <alignment horizontal="right" vertical="center"/>
    </xf>
    <xf numFmtId="0" fontId="17" fillId="0" borderId="44" xfId="0" applyNumberFormat="1" applyFont="1" applyFill="1" applyBorder="1" applyAlignment="1" applyProtection="1">
      <alignment horizontal="right" vertical="center"/>
    </xf>
    <xf numFmtId="0" fontId="14" fillId="0" borderId="17" xfId="0" applyNumberFormat="1" applyFont="1" applyFill="1" applyBorder="1" applyAlignment="1" applyProtection="1">
      <alignment horizontal="center" vertical="center"/>
    </xf>
    <xf numFmtId="0" fontId="14" fillId="0" borderId="9" xfId="0" applyNumberFormat="1" applyFont="1" applyFill="1" applyBorder="1" applyAlignment="1" applyProtection="1">
      <alignment horizontal="center" vertical="center"/>
    </xf>
    <xf numFmtId="167" fontId="17" fillId="0" borderId="43" xfId="0" applyNumberFormat="1" applyFont="1" applyFill="1" applyBorder="1" applyAlignment="1" applyProtection="1">
      <alignment horizontal="center" vertical="center" shrinkToFit="1"/>
    </xf>
    <xf numFmtId="167" fontId="17" fillId="0" borderId="44" xfId="0" applyNumberFormat="1" applyFont="1" applyFill="1" applyBorder="1" applyAlignment="1" applyProtection="1">
      <alignment horizontal="center" vertical="center" shrinkToFit="1"/>
    </xf>
    <xf numFmtId="167" fontId="17" fillId="0" borderId="43" xfId="0" applyNumberFormat="1" applyFont="1" applyFill="1" applyBorder="1" applyAlignment="1" applyProtection="1">
      <alignment horizontal="center" vertical="center" wrapText="1" shrinkToFit="1"/>
    </xf>
    <xf numFmtId="0" fontId="14" fillId="0" borderId="54" xfId="0" applyNumberFormat="1" applyFont="1" applyFill="1" applyBorder="1" applyAlignment="1" applyProtection="1">
      <alignment horizontal="center" vertical="center" wrapText="1"/>
    </xf>
    <xf numFmtId="0" fontId="14" fillId="0" borderId="90" xfId="0" applyNumberFormat="1" applyFont="1" applyFill="1" applyBorder="1" applyAlignment="1" applyProtection="1">
      <alignment horizontal="center" vertical="center" wrapText="1"/>
    </xf>
    <xf numFmtId="4" fontId="16" fillId="0" borderId="84" xfId="0" applyNumberFormat="1" applyFont="1" applyFill="1" applyBorder="1" applyAlignment="1" applyProtection="1">
      <alignment horizontal="center" vertical="center" wrapText="1" shrinkToFit="1"/>
    </xf>
    <xf numFmtId="0" fontId="16" fillId="0" borderId="48" xfId="0" applyNumberFormat="1" applyFont="1" applyFill="1" applyBorder="1" applyAlignment="1" applyProtection="1">
      <alignment horizontal="left" vertical="center" wrapText="1"/>
    </xf>
    <xf numFmtId="0" fontId="16" fillId="0" borderId="46" xfId="0" applyNumberFormat="1" applyFont="1" applyFill="1" applyBorder="1" applyAlignment="1" applyProtection="1">
      <alignment horizontal="left" vertical="center" wrapText="1"/>
    </xf>
    <xf numFmtId="0" fontId="14" fillId="0" borderId="37" xfId="0" applyNumberFormat="1" applyFont="1" applyFill="1" applyBorder="1" applyAlignment="1" applyProtection="1">
      <alignment horizontal="center" vertical="center"/>
    </xf>
    <xf numFmtId="0" fontId="14" fillId="0" borderId="70" xfId="0" applyNumberFormat="1" applyFont="1" applyFill="1" applyBorder="1" applyAlignment="1" applyProtection="1">
      <alignment horizontal="center" vertical="center"/>
    </xf>
    <xf numFmtId="4" fontId="16" fillId="0" borderId="38" xfId="0" applyNumberFormat="1" applyFont="1" applyFill="1" applyBorder="1" applyAlignment="1" applyProtection="1">
      <alignment horizontal="center" vertical="center" shrinkToFit="1"/>
    </xf>
    <xf numFmtId="4" fontId="16" fillId="0" borderId="68" xfId="0" applyNumberFormat="1" applyFont="1" applyFill="1" applyBorder="1" applyAlignment="1" applyProtection="1">
      <alignment horizontal="center" vertical="center" shrinkToFit="1"/>
    </xf>
    <xf numFmtId="4" fontId="16" fillId="0" borderId="37" xfId="0" applyNumberFormat="1" applyFont="1" applyFill="1" applyBorder="1" applyAlignment="1" applyProtection="1">
      <alignment horizontal="center" vertical="center" shrinkToFit="1"/>
    </xf>
    <xf numFmtId="4" fontId="16" fillId="0" borderId="70" xfId="0" applyNumberFormat="1" applyFont="1" applyFill="1" applyBorder="1" applyAlignment="1" applyProtection="1">
      <alignment horizontal="center" vertical="center" shrinkToFit="1"/>
    </xf>
    <xf numFmtId="0" fontId="17" fillId="0" borderId="44" xfId="0" applyNumberFormat="1" applyFont="1" applyFill="1" applyBorder="1" applyAlignment="1" applyProtection="1">
      <alignment horizontal="right" vertical="center" wrapText="1"/>
    </xf>
    <xf numFmtId="0" fontId="17" fillId="0" borderId="35" xfId="0" applyNumberFormat="1" applyFont="1" applyFill="1" applyBorder="1" applyAlignment="1" applyProtection="1">
      <alignment horizontal="center" vertical="top"/>
    </xf>
    <xf numFmtId="0" fontId="17" fillId="0" borderId="82" xfId="0" applyNumberFormat="1" applyFont="1" applyFill="1" applyBorder="1" applyAlignment="1" applyProtection="1">
      <alignment horizontal="center" vertical="top"/>
    </xf>
    <xf numFmtId="0" fontId="17" fillId="0" borderId="34" xfId="0" applyNumberFormat="1" applyFont="1" applyFill="1" applyBorder="1" applyAlignment="1" applyProtection="1">
      <alignment horizontal="center" vertical="top"/>
    </xf>
    <xf numFmtId="4" fontId="17" fillId="0" borderId="4" xfId="0" applyNumberFormat="1" applyFont="1" applyFill="1" applyBorder="1" applyAlignment="1" applyProtection="1">
      <alignment horizontal="center" vertical="center" shrinkToFit="1"/>
    </xf>
    <xf numFmtId="0" fontId="20" fillId="0" borderId="0" xfId="0" applyNumberFormat="1" applyFont="1" applyFill="1" applyBorder="1" applyAlignment="1" applyProtection="1">
      <alignment horizontal="left" vertical="center" indent="2"/>
    </xf>
    <xf numFmtId="0" fontId="17" fillId="0" borderId="89"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xf>
    <xf numFmtId="0" fontId="17" fillId="0" borderId="88" xfId="0" applyNumberFormat="1" applyFont="1" applyFill="1" applyBorder="1" applyAlignment="1" applyProtection="1">
      <alignment horizontal="center" vertical="center" wrapText="1"/>
    </xf>
    <xf numFmtId="0" fontId="17" fillId="0" borderId="76" xfId="0" applyNumberFormat="1" applyFont="1" applyFill="1" applyBorder="1" applyAlignment="1" applyProtection="1">
      <alignment horizontal="center" vertical="center" wrapText="1"/>
    </xf>
    <xf numFmtId="4" fontId="16" fillId="0" borderId="149" xfId="0" applyNumberFormat="1" applyFont="1" applyFill="1" applyBorder="1" applyAlignment="1" applyProtection="1">
      <alignment horizontal="center" vertical="center" shrinkToFit="1"/>
    </xf>
    <xf numFmtId="4" fontId="16" fillId="0" borderId="150" xfId="0" applyNumberFormat="1" applyFont="1" applyFill="1" applyBorder="1" applyAlignment="1" applyProtection="1">
      <alignment horizontal="center" vertical="center" shrinkToFit="1"/>
    </xf>
    <xf numFmtId="0" fontId="16" fillId="0" borderId="114" xfId="0" applyNumberFormat="1" applyFont="1" applyFill="1" applyBorder="1" applyAlignment="1" applyProtection="1">
      <alignment horizontal="left" vertical="center" wrapText="1"/>
    </xf>
    <xf numFmtId="4" fontId="16" fillId="0" borderId="116" xfId="0" applyNumberFormat="1" applyFont="1" applyFill="1" applyBorder="1" applyAlignment="1" applyProtection="1">
      <alignment horizontal="center" vertical="center" shrinkToFit="1"/>
    </xf>
    <xf numFmtId="4" fontId="16" fillId="0" borderId="115" xfId="0" applyNumberFormat="1" applyFont="1" applyFill="1" applyBorder="1" applyAlignment="1" applyProtection="1">
      <alignment horizontal="center" vertical="center" shrinkToFit="1"/>
    </xf>
    <xf numFmtId="4" fontId="16" fillId="0" borderId="88" xfId="0" applyNumberFormat="1" applyFont="1" applyFill="1" applyBorder="1" applyAlignment="1" applyProtection="1">
      <alignment horizontal="center" vertical="center" shrinkToFit="1"/>
    </xf>
    <xf numFmtId="4" fontId="16" fillId="0" borderId="76" xfId="0" applyNumberFormat="1" applyFont="1" applyFill="1" applyBorder="1" applyAlignment="1" applyProtection="1">
      <alignment horizontal="center" vertical="center" shrinkToFit="1"/>
    </xf>
    <xf numFmtId="0" fontId="16" fillId="0" borderId="77" xfId="0" applyNumberFormat="1" applyFont="1" applyFill="1" applyBorder="1" applyAlignment="1" applyProtection="1">
      <alignment horizontal="left" vertical="center" wrapText="1"/>
    </xf>
    <xf numFmtId="0" fontId="16" fillId="0" borderId="119" xfId="0" applyNumberFormat="1" applyFont="1" applyFill="1" applyBorder="1" applyAlignment="1" applyProtection="1">
      <alignment horizontal="left" vertical="center" wrapText="1"/>
    </xf>
    <xf numFmtId="4" fontId="16" fillId="0" borderId="118" xfId="0" applyNumberFormat="1" applyFont="1" applyFill="1" applyBorder="1" applyAlignment="1" applyProtection="1">
      <alignment horizontal="center" vertical="center" shrinkToFit="1"/>
    </xf>
    <xf numFmtId="4" fontId="16" fillId="0" borderId="126" xfId="0" applyNumberFormat="1" applyFont="1" applyFill="1" applyBorder="1" applyAlignment="1" applyProtection="1">
      <alignment horizontal="center" vertical="center" shrinkToFit="1"/>
    </xf>
    <xf numFmtId="4" fontId="16" fillId="0" borderId="114" xfId="0" applyNumberFormat="1" applyFont="1" applyFill="1" applyBorder="1" applyAlignment="1" applyProtection="1">
      <alignment horizontal="center" vertical="center" shrinkToFit="1"/>
    </xf>
    <xf numFmtId="0" fontId="16" fillId="0" borderId="0"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2" xfId="0" applyNumberFormat="1" applyFont="1" applyBorder="1" applyAlignment="1">
      <alignment horizontal="center" wrapText="1"/>
    </xf>
    <xf numFmtId="0" fontId="16" fillId="0" borderId="50" xfId="0" applyNumberFormat="1" applyFont="1" applyFill="1" applyBorder="1" applyAlignment="1" applyProtection="1">
      <alignment horizontal="center" vertical="top" wrapText="1"/>
    </xf>
    <xf numFmtId="0" fontId="16" fillId="0" borderId="51" xfId="0" applyNumberFormat="1" applyFont="1" applyFill="1" applyBorder="1" applyAlignment="1" applyProtection="1">
      <alignment horizontal="center" vertical="top" wrapText="1"/>
    </xf>
    <xf numFmtId="0" fontId="17" fillId="0" borderId="49" xfId="0" applyNumberFormat="1" applyFont="1" applyFill="1" applyBorder="1" applyAlignment="1" applyProtection="1">
      <alignment horizontal="center" vertical="top" wrapText="1"/>
    </xf>
    <xf numFmtId="0" fontId="17" fillId="0" borderId="50" xfId="0" applyNumberFormat="1" applyFont="1" applyFill="1" applyBorder="1" applyAlignment="1" applyProtection="1">
      <alignment horizontal="center" vertical="top" wrapText="1"/>
    </xf>
    <xf numFmtId="0" fontId="17" fillId="0" borderId="51" xfId="0" applyNumberFormat="1" applyFont="1" applyFill="1" applyBorder="1" applyAlignment="1" applyProtection="1">
      <alignment horizontal="center" vertical="top" wrapText="1"/>
    </xf>
    <xf numFmtId="0" fontId="16" fillId="0" borderId="49" xfId="0" applyNumberFormat="1" applyFont="1" applyFill="1" applyBorder="1" applyAlignment="1" applyProtection="1">
      <alignment horizontal="center" vertical="top" wrapText="1"/>
    </xf>
    <xf numFmtId="0" fontId="20" fillId="7" borderId="111" xfId="0" applyFont="1" applyFill="1" applyBorder="1" applyAlignment="1">
      <alignment horizontal="center"/>
    </xf>
    <xf numFmtId="0" fontId="20" fillId="7" borderId="0" xfId="0" applyFont="1" applyFill="1" applyBorder="1" applyAlignment="1">
      <alignment horizontal="center"/>
    </xf>
    <xf numFmtId="0" fontId="20" fillId="7" borderId="112" xfId="0" applyFont="1" applyFill="1" applyBorder="1" applyAlignment="1">
      <alignment horizontal="center"/>
    </xf>
    <xf numFmtId="4" fontId="55" fillId="20" borderId="25" xfId="1" applyNumberFormat="1" applyFont="1" applyFill="1" applyBorder="1" applyAlignment="1">
      <alignment horizontal="center" vertical="center" wrapText="1"/>
    </xf>
    <xf numFmtId="4" fontId="55" fillId="20" borderId="147" xfId="1" applyNumberFormat="1" applyFont="1" applyFill="1" applyBorder="1" applyAlignment="1">
      <alignment horizontal="center" vertical="center" wrapText="1"/>
    </xf>
  </cellXfs>
  <cellStyles count="21">
    <cellStyle name="st92" xfId="5"/>
    <cellStyle name="Гиперссылка" xfId="20" builtinId="8"/>
    <cellStyle name="Обычный" xfId="0" builtinId="0"/>
    <cellStyle name="Обычный 10" xfId="17"/>
    <cellStyle name="Обычный 11" xfId="18"/>
    <cellStyle name="Обычный 12" xfId="19"/>
    <cellStyle name="Обычный 2" xfId="1"/>
    <cellStyle name="Обычный 2 2" xfId="3"/>
    <cellStyle name="Обычный 3" xfId="6"/>
    <cellStyle name="Обычный 4" xfId="7"/>
    <cellStyle name="Обычный 4 2" xfId="8"/>
    <cellStyle name="Обычный 5" xfId="9"/>
    <cellStyle name="Обычный 6" xfId="10"/>
    <cellStyle name="Обычный 7" xfId="11"/>
    <cellStyle name="Обычный 8" xfId="13"/>
    <cellStyle name="Обычный 9" xfId="14"/>
    <cellStyle name="Обычный_2" xfId="12"/>
    <cellStyle name="Обычный_Титульный" xfId="2"/>
    <cellStyle name="Плохой" xfId="16" builtinId="27"/>
    <cellStyle name="Финансовый 2" xfId="4"/>
    <cellStyle name="Хороший" xfId="15" builtinId="26"/>
  </cellStyles>
  <dxfs count="207">
    <dxf>
      <font>
        <b val="0"/>
        <i val="0"/>
        <strike val="0"/>
        <condense val="0"/>
        <extend val="0"/>
        <outline val="0"/>
        <shadow val="0"/>
        <u val="none"/>
        <vertAlign val="baseline"/>
        <sz val="14"/>
        <color theme="1"/>
        <name val="Times New Roman"/>
        <scheme val="none"/>
      </font>
      <numFmt numFmtId="4" formatCode="#,##0.00"/>
      <alignment horizontal="left" vertical="center" textRotation="0" wrapText="1" indent="1" relativeIndent="255" justifyLastLine="0" shrinkToFit="1"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4"/>
        <color theme="1"/>
        <name val="Times New Roman"/>
        <scheme val="none"/>
      </font>
      <numFmt numFmtId="3" formatCode="#,##0"/>
      <alignment horizontal="left" vertical="center" textRotation="0" wrapText="1" indent="1" relativeIndent="255"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4"/>
        <color theme="1"/>
        <name val="Times New Roman"/>
        <scheme val="none"/>
      </font>
      <numFmt numFmtId="3" formatCode="#,##0"/>
      <alignment horizontal="left" vertical="center" textRotation="0" wrapText="1" indent="1" relativeIndent="255" justifyLastLine="0" shrinkToFit="0" readingOrder="0"/>
      <border diagonalUp="0" diagonalDown="0">
        <left style="hair">
          <color auto="1"/>
        </left>
        <right style="hair">
          <color auto="1"/>
        </right>
        <top style="hair">
          <color auto="1"/>
        </top>
        <bottom style="hair">
          <color auto="1"/>
        </bottom>
        <vertical/>
        <horizontal/>
      </border>
    </dxf>
    <dxf>
      <border outline="0">
        <right style="thin">
          <color auto="1"/>
        </right>
        <top style="thin">
          <color indexed="64"/>
        </top>
        <bottom style="thin">
          <color indexed="64"/>
        </bottom>
      </border>
    </dxf>
    <dxf>
      <border outline="0">
        <bottom style="thin">
          <color indexed="64"/>
        </bottom>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4"/>
        <color auto="1"/>
        <name val="Times New Roman"/>
        <scheme val="none"/>
      </font>
      <fill>
        <patternFill patternType="none">
          <fgColor indexed="64"/>
          <bgColor auto="1"/>
        </patternFill>
      </fill>
      <alignment horizontal="left" vertical="center" textRotation="0" wrapText="0" indent="1" relativeIndent="255" justifyLastLine="0" shrinkToFit="0" readingOrder="0"/>
      <border diagonalUp="0" diagonalDown="0" outline="0">
        <left style="hair">
          <color auto="1"/>
        </left>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1" readingOrder="0"/>
      <border diagonalUp="0" diagonalDown="0" outline="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1"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1" readingOrder="0"/>
      <border diagonalUp="0" diagonalDown="0" outline="0">
        <left style="hair">
          <color indexed="64"/>
        </left>
        <right style="hair">
          <color auto="1"/>
        </right>
        <top style="hair">
          <color auto="1"/>
        </top>
        <bottom style="hair">
          <color auto="1"/>
        </bottom>
      </border>
    </dxf>
    <dxf>
      <font>
        <strike val="0"/>
        <outline val="0"/>
        <shadow val="0"/>
        <u val="none"/>
        <vertAlign val="baseline"/>
        <name val="Times New Roman"/>
        <scheme val="none"/>
      </font>
      <fill>
        <patternFill patternType="none">
          <fgColor indexed="64"/>
          <bgColor auto="1"/>
        </patternFill>
      </fill>
      <alignment horizontal="center" textRotation="0" wrapText="0" indent="0" relativeIndent="255" justifyLastLine="0" shrinkToFit="0" readingOrder="0"/>
      <border diagonalUp="0" diagonalDown="0" outline="0">
        <left style="hair">
          <color indexed="64"/>
        </left>
        <right style="hair">
          <color auto="1"/>
        </right>
        <top style="hair">
          <color auto="1"/>
        </top>
        <bottom style="hair">
          <color auto="1"/>
        </bottom>
      </border>
    </dxf>
    <dxf>
      <font>
        <strike val="0"/>
        <outline val="0"/>
        <shadow val="0"/>
        <u val="none"/>
        <vertAlign val="baseline"/>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outline="0">
        <left style="hair">
          <color indexed="64"/>
        </left>
        <right style="hair">
          <color auto="1"/>
        </right>
        <top style="hair">
          <color auto="1"/>
        </top>
        <bottom style="hair">
          <color auto="1"/>
        </bottom>
      </border>
    </dxf>
    <dxf>
      <font>
        <strike val="0"/>
        <outline val="0"/>
        <shadow val="0"/>
        <u val="none"/>
        <vertAlign val="baseline"/>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outline="0">
        <left style="hair">
          <color indexed="64"/>
        </left>
        <right style="hair">
          <color auto="1"/>
        </right>
        <top style="hair">
          <color auto="1"/>
        </top>
        <bottom style="hair">
          <color auto="1"/>
        </bottom>
      </border>
    </dxf>
    <dxf>
      <font>
        <b val="0"/>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outline="0">
        <left/>
        <right style="hair">
          <color auto="1"/>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center" vertical="center" textRotation="0" wrapText="0" indent="0" relativeIndent="255" justifyLastLine="0" shrinkToFit="0" readingOrder="0"/>
      <border diagonalUp="0" diagonalDown="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0" readingOrder="0"/>
      <border diagonalUp="0" diagonalDown="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0" readingOrder="0"/>
      <border diagonalUp="0" diagonalDown="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0" readingOrder="0"/>
      <border diagonalUp="0" diagonalDown="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0" readingOrder="0"/>
      <border diagonalUp="0" diagonalDown="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0" readingOrder="0"/>
      <border diagonalUp="0" diagonalDown="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0" readingOrder="0"/>
      <border diagonalUp="0" diagonalDown="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0" readingOrder="0"/>
      <border diagonalUp="0" diagonalDown="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0" readingOrder="0"/>
      <border diagonalUp="0" diagonalDown="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theme="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0" readingOrder="0"/>
      <border diagonalUp="0" diagonalDown="0">
        <left style="hair">
          <color auto="1"/>
        </left>
        <right style="hair">
          <color indexed="64"/>
        </right>
        <top style="hair">
          <color auto="1"/>
        </top>
        <bottom style="hair">
          <color auto="1"/>
        </bottom>
      </border>
    </dxf>
    <dxf>
      <border>
        <top style="hair">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center" textRotation="0" wrapText="0" indent="0" relativeIndent="255" justifyLastLine="0" shrinkToFit="0" readingOrder="0"/>
    </dxf>
    <dxf>
      <border outline="0">
        <bottom style="hair">
          <color auto="1"/>
        </bottom>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4" tint="0.59999389629810485"/>
        </patternFill>
      </fill>
      <alignment horizontal="center" vertical="top" textRotation="0" wrapText="0" indent="0" relativeIndent="255"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center" textRotation="0" wrapText="0" indent="1" relativeIndent="255" justifyLastLine="0" shrinkToFit="1" readingOrder="0"/>
      <border diagonalUp="0" diagonalDown="0">
        <left style="hair">
          <color auto="1"/>
        </left>
        <right style="thin">
          <color auto="1"/>
        </right>
        <top style="hair">
          <color auto="1"/>
        </top>
        <bottom style="hair">
          <color auto="1"/>
        </bottom>
      </border>
    </dxf>
    <dxf>
      <font>
        <strike val="0"/>
        <outline val="0"/>
        <shadow val="0"/>
        <u val="none"/>
        <vertAlign val="baseline"/>
        <name val="Times New Roman"/>
        <scheme val="none"/>
      </font>
      <fill>
        <patternFill patternType="none">
          <fgColor indexed="64"/>
          <bgColor auto="1"/>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style="hair">
          <color auto="1"/>
        </bottom>
      </border>
    </dxf>
    <dxf>
      <font>
        <strike val="0"/>
        <outline val="0"/>
        <shadow val="0"/>
        <u val="none"/>
        <vertAlign val="baseline"/>
        <name val="Times New Roman"/>
        <scheme val="none"/>
      </font>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name val="Times New Roman"/>
        <scheme val="none"/>
      </font>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bottom" textRotation="0" wrapText="0" indent="0" relativeIndent="255"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sz val="12"/>
        <color theme="1"/>
        <name val="Times New Roman"/>
        <scheme val="none"/>
      </font>
      <numFmt numFmtId="169" formatCode="#\ ##0"/>
      <fill>
        <patternFill patternType="none">
          <fgColor indexed="64"/>
          <bgColor auto="1"/>
        </patternFill>
      </fill>
      <alignment horizontal="center" vertical="center" textRotation="0" indent="0" relativeIndent="255"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name val="Times New Roman"/>
        <scheme val="none"/>
      </font>
      <numFmt numFmtId="169" formatCode="#\ ##0"/>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name val="Times New Roman"/>
        <scheme val="none"/>
      </font>
      <numFmt numFmtId="169" formatCode="#\ ##0"/>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name val="Times New Roman"/>
        <scheme val="none"/>
      </font>
      <numFmt numFmtId="169" formatCode="#\ ##0"/>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name val="Times New Roman"/>
        <scheme val="none"/>
      </font>
      <numFmt numFmtId="169" formatCode="#\ ##0"/>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name val="Times New Roman"/>
        <scheme val="none"/>
      </font>
      <numFmt numFmtId="169" formatCode="#\ ##0"/>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name val="Times New Roman"/>
        <scheme val="none"/>
      </font>
      <numFmt numFmtId="169" formatCode="#\ ##0"/>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name val="Times New Roman"/>
        <scheme val="none"/>
      </font>
      <numFmt numFmtId="169" formatCode="#\ ##0"/>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name val="Times New Roman"/>
        <scheme val="none"/>
      </font>
      <numFmt numFmtId="169" formatCode="#\ ##0"/>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strike val="0"/>
        <outline val="0"/>
        <shadow val="0"/>
        <u val="none"/>
        <vertAlign val="baseline"/>
        <name val="Times New Roman"/>
        <scheme val="none"/>
      </font>
      <numFmt numFmtId="169" formatCode="#\ ##0"/>
      <fill>
        <patternFill patternType="none">
          <fgColor indexed="64"/>
          <bgColor auto="1"/>
        </patternFill>
      </fill>
      <border diagonalUp="0" diagonalDown="0">
        <left/>
        <right style="hair">
          <color auto="1"/>
        </right>
        <top style="hair">
          <color auto="1"/>
        </top>
        <bottom style="hair">
          <color auto="1"/>
        </bottom>
        <vertical style="hair">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name val="Times New Roman"/>
        <scheme val="none"/>
      </font>
      <numFmt numFmtId="169" formatCode="#\ ##0"/>
      <fill>
        <patternFill patternType="none">
          <fgColor indexed="64"/>
          <bgColor auto="1"/>
        </patternFill>
      </fill>
    </dxf>
    <dxf>
      <border>
        <bottom style="hair">
          <color auto="1"/>
        </bottom>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6" tint="0.59999389629810485"/>
        </patternFill>
      </fill>
      <alignment horizontal="center" vertical="center" textRotation="0" wrapText="0" indent="0" relativeIndent="255"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center" textRotation="0" wrapText="0" indent="1" relativeIndent="255" justifyLastLine="0" shrinkToFit="1" readingOrder="0"/>
      <border diagonalUp="0" diagonalDown="0">
        <left style="hair">
          <color auto="1"/>
        </left>
        <right/>
        <top style="hair">
          <color auto="1"/>
        </top>
        <bottom style="hair">
          <color auto="1"/>
        </bottom>
      </border>
    </dxf>
    <dxf>
      <font>
        <b val="0"/>
        <i val="0"/>
        <strike val="0"/>
        <condense val="0"/>
        <extend val="0"/>
        <outline val="0"/>
        <shadow val="0"/>
        <u val="none"/>
        <vertAlign val="baseline"/>
        <sz val="12"/>
        <color auto="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1" readingOrder="0"/>
      <border diagonalUp="0" diagonalDown="0">
        <left style="medium">
          <color indexed="64"/>
        </left>
        <right style="medium">
          <color indexed="64"/>
        </right>
        <top style="hair">
          <color auto="1"/>
        </top>
        <bottom style="hair">
          <color auto="1"/>
        </bottom>
        <vertical/>
        <horizontal style="hair">
          <color auto="1"/>
        </horizontal>
      </border>
    </dxf>
    <dxf>
      <font>
        <b val="0"/>
        <i val="0"/>
        <strike val="0"/>
        <condense val="0"/>
        <extend val="0"/>
        <outline val="0"/>
        <shadow val="0"/>
        <u val="none"/>
        <vertAlign val="baseline"/>
        <sz val="12"/>
        <color auto="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1" readingOrder="0"/>
      <border diagonalUp="0" diagonalDown="0">
        <left style="medium">
          <color indexed="64"/>
        </left>
        <right style="medium">
          <color indexed="64"/>
        </right>
        <top style="hair">
          <color auto="1"/>
        </top>
        <bottom style="hair">
          <color auto="1"/>
        </bottom>
        <vertical/>
        <horizontal style="hair">
          <color auto="1"/>
        </horizontal>
      </border>
    </dxf>
    <dxf>
      <font>
        <b val="0"/>
        <i val="0"/>
        <strike val="0"/>
        <condense val="0"/>
        <extend val="0"/>
        <outline val="0"/>
        <shadow val="0"/>
        <u val="none"/>
        <vertAlign val="baseline"/>
        <sz val="12"/>
        <color auto="1"/>
        <name val="Times New Roman"/>
        <scheme val="none"/>
      </font>
      <numFmt numFmtId="4" formatCode="#,##0.00"/>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bottom" textRotation="0" wrapText="0" indent="0" relativeIndent="255"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2"/>
        <color auto="1"/>
        <name val="Times New Roman"/>
        <scheme val="none"/>
      </font>
      <numFmt numFmtId="169" formatCode="#\ ##0"/>
      <fill>
        <patternFill patternType="none">
          <fgColor indexed="64"/>
          <bgColor auto="1"/>
        </patternFill>
      </fill>
      <alignment horizontal="center" vertical="center" textRotation="0" wrapText="1" indent="0" relativeIndent="255"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2"/>
        <color auto="1"/>
        <name val="Times New Roman"/>
        <scheme val="none"/>
      </font>
      <numFmt numFmtId="169" formatCode="#\ ##0"/>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2"/>
        <color auto="1"/>
        <name val="Times New Roman"/>
        <scheme val="none"/>
      </font>
      <numFmt numFmtId="169" formatCode="#\ ##0"/>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2"/>
        <color auto="1"/>
        <name val="Times New Roman"/>
        <scheme val="none"/>
      </font>
      <numFmt numFmtId="169" formatCode="#\ ##0"/>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2"/>
        <color auto="1"/>
        <name val="Times New Roman"/>
        <scheme val="none"/>
      </font>
      <numFmt numFmtId="169" formatCode="#\ ##0"/>
      <fill>
        <patternFill patternType="none">
          <fgColor indexed="64"/>
          <bgColor indexed="65"/>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Times New Roman"/>
        <scheme val="none"/>
      </font>
      <numFmt numFmtId="169" formatCode="#\ ##0"/>
      <fill>
        <patternFill patternType="none">
          <fgColor indexed="64"/>
          <bgColor indexed="65"/>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Times New Roman"/>
        <scheme val="none"/>
      </font>
      <numFmt numFmtId="169" formatCode="#\ ##0"/>
      <fill>
        <patternFill patternType="none">
          <fgColor indexed="64"/>
          <bgColor indexed="65"/>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Times New Roman"/>
        <scheme val="none"/>
      </font>
      <numFmt numFmtId="169" formatCode="#\ ##0"/>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2"/>
        <color auto="1"/>
        <name val="Times New Roman"/>
        <scheme val="none"/>
      </font>
      <numFmt numFmtId="169" formatCode="#\ ##0"/>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2"/>
        <color auto="1"/>
        <name val="Times New Roman"/>
        <scheme val="none"/>
      </font>
      <numFmt numFmtId="169" formatCode="#\ ##0"/>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name val="Times New Roman"/>
        <scheme val="none"/>
      </font>
      <numFmt numFmtId="169" formatCode="#\ ##0"/>
      <fill>
        <patternFill patternType="none">
          <fgColor indexed="64"/>
          <bgColor auto="1"/>
        </patternFill>
      </fill>
    </dxf>
    <dxf>
      <border>
        <bottom style="hair">
          <color auto="1"/>
        </bottom>
      </border>
    </dxf>
    <dxf>
      <font>
        <b val="0"/>
        <i val="0"/>
        <strike val="0"/>
        <condense val="0"/>
        <extend val="0"/>
        <outline val="0"/>
        <shadow val="0"/>
        <u val="none"/>
        <vertAlign val="baseline"/>
        <sz val="14"/>
        <color theme="1"/>
        <name val="Times New Roman"/>
        <scheme val="none"/>
      </font>
      <numFmt numFmtId="3" formatCode="#,##0"/>
      <fill>
        <patternFill patternType="solid">
          <fgColor indexed="64"/>
          <bgColor theme="6" tint="0.59999389629810485"/>
        </patternFill>
      </fill>
      <alignment horizontal="center" vertical="top" textRotation="0" wrapText="0" indent="0" relativeIndent="255"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4"/>
        <color theme="1"/>
        <name val="Times New Roman"/>
        <scheme val="none"/>
      </font>
      <numFmt numFmtId="0" formatCode="General"/>
      <fill>
        <patternFill patternType="none">
          <fgColor indexed="64"/>
          <bgColor indexed="65"/>
        </patternFill>
      </fill>
      <alignment horizontal="left" vertical="center" textRotation="0" wrapText="0" indent="1" relativeIndent="255" justifyLastLine="0" shrinkToFit="1" readingOrder="0"/>
      <border diagonalUp="0" diagonalDown="0" outline="0">
        <left style="hair">
          <color auto="1"/>
        </left>
        <right/>
        <top style="hair">
          <color auto="1"/>
        </top>
        <bottom/>
      </border>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center" textRotation="0" wrapText="0" indent="1" relativeIndent="255" justifyLastLine="0" shrinkToFit="1" readingOrder="0"/>
      <border diagonalUp="0" diagonalDown="0">
        <left style="hair">
          <color auto="1"/>
        </left>
        <right/>
        <top style="hair">
          <color auto="1"/>
        </top>
        <bottom style="hair">
          <color auto="1"/>
        </bottom>
      </border>
    </dxf>
    <dxf>
      <font>
        <b val="0"/>
        <i val="0"/>
        <strike val="0"/>
        <condense val="0"/>
        <extend val="0"/>
        <outline val="0"/>
        <shadow val="0"/>
        <u val="none"/>
        <vertAlign val="baseline"/>
        <sz val="12"/>
        <color auto="1"/>
        <name val="Times New Roman"/>
        <scheme val="none"/>
      </font>
      <numFmt numFmtId="4" formatCode="#,##0.00"/>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fill>
        <patternFill patternType="none">
          <fgColor indexed="64"/>
          <bgColor auto="1"/>
        </patternFill>
      </fill>
      <alignment horizontal="general" vertical="center" textRotation="0" wrapText="0" indent="0" relativeIndent="255" justifyLastLine="0" shrinkToFit="1" readingOrder="0"/>
      <border diagonalUp="0" diagonalDown="0" outline="0">
        <left style="hair">
          <color auto="1"/>
        </left>
        <right style="hair">
          <color indexed="64"/>
        </right>
        <top style="hair">
          <color auto="1"/>
        </top>
        <bottom style="hair">
          <color auto="1"/>
        </bottom>
      </border>
    </dxf>
    <dxf>
      <font>
        <b val="0"/>
        <i val="0"/>
        <strike val="0"/>
        <condense val="0"/>
        <extend val="0"/>
        <outline val="0"/>
        <shadow val="0"/>
        <u val="none"/>
        <vertAlign val="baseline"/>
        <sz val="12"/>
        <color auto="1"/>
        <name val="Times New Roman"/>
        <scheme val="none"/>
      </font>
      <numFmt numFmtId="4" formatCode="#,##0.00"/>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2"/>
        <color auto="1"/>
        <name val="Times New Roman"/>
        <scheme val="none"/>
      </font>
      <numFmt numFmtId="4" formatCode="#,##0.00"/>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4"/>
        <color theme="1"/>
        <name val="Times New Roman"/>
        <scheme val="none"/>
      </font>
      <numFmt numFmtId="0" formatCode="General"/>
      <fill>
        <patternFill patternType="none">
          <fgColor indexed="64"/>
          <bgColor indexed="65"/>
        </patternFill>
      </fill>
      <alignment horizontal="center" vertical="center" textRotation="0" wrapText="0" indent="0" relativeIndent="255" justifyLastLine="0" shrinkToFit="0" readingOrder="0"/>
      <border diagonalUp="0" diagonalDown="0" outline="0">
        <left style="hair">
          <color auto="1"/>
        </left>
        <right style="hair">
          <color auto="1"/>
        </right>
        <top style="hair">
          <color auto="1"/>
        </top>
        <bottom/>
      </border>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4"/>
        <color theme="1"/>
        <name val="Times New Roman"/>
        <scheme val="none"/>
      </font>
      <numFmt numFmtId="0" formatCode="General"/>
      <fill>
        <patternFill patternType="none">
          <fgColor indexed="64"/>
          <bgColor indexed="65"/>
        </patternFill>
      </fill>
      <alignment horizontal="right" vertical="bottom" textRotation="0" wrapText="0" indent="1" relativeIndent="255" justifyLastLine="0" shrinkToFit="0" readingOrder="0"/>
      <border diagonalUp="0" diagonalDown="0" outline="0">
        <left style="hair">
          <color auto="1"/>
        </left>
        <right style="hair">
          <color auto="1"/>
        </right>
        <top style="hair">
          <color auto="1"/>
        </top>
        <bottom/>
      </border>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right" vertical="bottom" textRotation="0" wrapText="0" indent="1" relativeIndent="255"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4"/>
        <color theme="1"/>
        <name val="Times New Roman"/>
        <scheme val="none"/>
      </font>
      <numFmt numFmtId="0" formatCode="General"/>
      <fill>
        <patternFill patternType="none">
          <fgColor indexed="64"/>
          <bgColor indexed="65"/>
        </patternFill>
      </fill>
      <alignment horizontal="center" vertical="center" textRotation="0" wrapText="0" indent="0" relativeIndent="255" justifyLastLine="0" shrinkToFit="0" readingOrder="0"/>
      <border diagonalUp="0" diagonalDown="0" outline="0">
        <left style="hair">
          <color auto="1"/>
        </left>
        <right style="hair">
          <color auto="1"/>
        </right>
        <top style="hair">
          <color auto="1"/>
        </top>
        <bottom/>
      </border>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center" vertical="center" textRotation="0" wrapText="0" indent="0" relativeIndent="255"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4"/>
        <color auto="1"/>
        <name val="Times New Roman"/>
        <scheme val="none"/>
      </font>
      <numFmt numFmtId="0" formatCode="General"/>
      <fill>
        <patternFill patternType="none">
          <fgColor indexed="64"/>
          <bgColor indexed="65"/>
        </patternFill>
      </fill>
      <alignment horizontal="center" vertical="bottom" textRotation="0" wrapText="0" indent="0" relativeIndent="255" justifyLastLine="0" shrinkToFit="0" readingOrder="0"/>
      <border diagonalUp="0" diagonalDown="0" outline="0">
        <left style="hair">
          <color auto="1"/>
        </left>
        <right style="hair">
          <color auto="1"/>
        </right>
        <top style="hair">
          <color auto="1"/>
        </top>
        <bottom/>
      </border>
      <protection locked="1" hidden="0"/>
    </dxf>
    <dxf>
      <font>
        <b val="0"/>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bottom" textRotation="0" wrapText="0" indent="0" relativeIndent="255"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0" indent="0" relativeIndent="255" justifyLastLine="0" shrinkToFit="0"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numFmt numFmtId="0" formatCode="General"/>
      <fill>
        <patternFill patternType="none">
          <fgColor indexed="64"/>
          <bgColor auto="1"/>
        </patternFill>
      </fill>
      <alignment horizontal="center" vertical="center" textRotation="0" indent="0" relativeIndent="255" justifyLastLine="0" shrinkToFit="0"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numFmt numFmtId="0" formatCode="General"/>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numFmt numFmtId="0" formatCode="General"/>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numFmt numFmtId="0" formatCode="General"/>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numFmt numFmtId="0" formatCode="General"/>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numFmt numFmtId="0" formatCode="General"/>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numFmt numFmtId="0" formatCode="General"/>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numFmt numFmtId="0" formatCode="General"/>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numFmt numFmtId="0" formatCode="General"/>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general" vertical="center" textRotation="0" wrapText="0" indent="0" relativeIndent="255" justifyLastLine="0" shrinkToFit="1" readingOrder="0"/>
      <border diagonalUp="0" diagonalDown="0" outline="0">
        <left style="hair">
          <color auto="1"/>
        </left>
        <right style="hair">
          <color auto="1"/>
        </right>
        <top style="hair">
          <color auto="1"/>
        </top>
        <bottom/>
      </border>
      <protection locked="1" hidden="0"/>
    </dxf>
    <dxf>
      <font>
        <strike val="0"/>
        <outline val="0"/>
        <shadow val="0"/>
        <u val="none"/>
        <vertAlign val="baseline"/>
        <name val="Times New Roman"/>
        <scheme val="none"/>
      </font>
      <numFmt numFmtId="0" formatCode="General"/>
      <fill>
        <patternFill patternType="none">
          <fgColor indexed="64"/>
          <bgColor auto="1"/>
        </patternFill>
      </fill>
      <alignment horizontal="general" vertical="center" textRotation="0" wrapText="0" indent="0" relativeIndent="255" justifyLastLine="0" shrinkToFit="1" readingOrder="0"/>
      <border diagonalUp="0" diagonalDown="0">
        <left style="hair">
          <color auto="1"/>
        </left>
        <right style="hair">
          <color auto="1"/>
        </right>
        <top style="hair">
          <color auto="1"/>
        </top>
        <bottom style="hair">
          <color auto="1"/>
        </bottom>
        <vertical style="hair">
          <color auto="1"/>
        </vertical>
        <horizontal style="hair">
          <color auto="1"/>
        </horizontal>
      </border>
    </dxf>
    <dxf>
      <border>
        <top style="hair">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none">
          <fgColor indexed="64"/>
          <bgColor auto="1"/>
        </patternFill>
      </fill>
    </dxf>
    <dxf>
      <border>
        <bottom style="hair">
          <color indexed="64"/>
        </bottom>
      </border>
    </dxf>
    <dxf>
      <font>
        <b val="0"/>
        <i val="0"/>
        <strike val="0"/>
        <condense val="0"/>
        <extend val="0"/>
        <outline val="0"/>
        <shadow val="0"/>
        <u val="none"/>
        <vertAlign val="baseline"/>
        <sz val="14"/>
        <color theme="1"/>
        <name val="Times New Roman"/>
        <scheme val="none"/>
      </font>
      <numFmt numFmtId="4" formatCode="#,##0.00"/>
      <fill>
        <patternFill patternType="solid">
          <fgColor indexed="64"/>
          <bgColor theme="6" tint="0.59999389629810485"/>
        </patternFill>
      </fill>
      <alignment horizontal="center" vertical="top" textRotation="0" wrapText="0" indent="0" relativeIndent="255" justifyLastLine="0" shrinkToFit="0" readingOrder="0"/>
      <border diagonalUp="0" diagonalDown="0" outline="0">
        <left style="hair">
          <color indexed="64"/>
        </left>
        <right style="hair">
          <color indexed="64"/>
        </right>
        <top/>
        <bottom/>
      </border>
    </dxf>
    <dxf>
      <fill>
        <patternFill>
          <bgColor theme="5" tint="0.39994506668294322"/>
        </patternFill>
      </fill>
    </dxf>
    <dxf>
      <border>
        <top style="thin">
          <color auto="1"/>
        </top>
        <bottom style="hair">
          <color auto="1"/>
        </bottom>
        <vertical/>
        <horizontal/>
      </border>
    </dxf>
    <dxf>
      <border>
        <top style="thin">
          <color auto="1"/>
        </top>
        <bottom style="hair">
          <color auto="1"/>
        </bottom>
        <vertical/>
        <horizontal/>
      </border>
    </dxf>
    <dxf>
      <fill>
        <patternFill>
          <bgColor theme="6" tint="0.79998168889431442"/>
        </patternFill>
      </fill>
    </dxf>
    <dxf>
      <fill>
        <patternFill>
          <bgColor theme="6"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ont>
        <b/>
        <i val="0"/>
      </font>
    </dxf>
    <dxf>
      <font>
        <b/>
        <i val="0"/>
        <strike val="0"/>
      </font>
    </dxf>
    <dxf>
      <fill>
        <patternFill>
          <bgColor theme="8" tint="0.59996337778862885"/>
        </patternFill>
      </fill>
    </dxf>
    <dxf>
      <fill>
        <patternFill>
          <bgColor theme="8" tint="0.59996337778862885"/>
        </patternFill>
      </fill>
    </dxf>
    <dxf>
      <fill>
        <patternFill>
          <bgColor theme="8" tint="0.59996337778862885"/>
        </patternFill>
      </fill>
    </dxf>
    <dxf>
      <border>
        <top style="thin">
          <color auto="1"/>
        </top>
        <bottom style="hair">
          <color auto="1"/>
        </bottom>
        <vertical/>
        <horizontal/>
      </border>
    </dxf>
    <dxf>
      <border>
        <top style="thin">
          <color auto="1"/>
        </top>
        <bottom style="hair">
          <color auto="1"/>
        </bottom>
        <vertical/>
        <horizontal/>
      </border>
    </dxf>
    <dxf>
      <border>
        <top style="thin">
          <color auto="1"/>
        </top>
        <bottom style="hair">
          <color auto="1"/>
        </bottom>
        <vertical/>
        <horizontal/>
      </border>
    </dxf>
    <dxf>
      <fill>
        <patternFill>
          <bgColor theme="6" tint="0.79998168889431442"/>
        </patternFill>
      </fill>
    </dxf>
    <dxf>
      <fill>
        <patternFill>
          <bgColor theme="6" tint="0.79998168889431442"/>
        </patternFill>
      </fill>
    </dxf>
    <dxf>
      <font>
        <b/>
        <i val="0"/>
      </font>
    </dxf>
    <dxf>
      <font>
        <b/>
        <i val="0"/>
      </font>
    </dxf>
    <dxf>
      <font>
        <b/>
        <i val="0"/>
      </font>
    </dxf>
    <dxf>
      <fill>
        <patternFill>
          <bgColor theme="8" tint="0.59996337778862885"/>
        </patternFill>
      </fill>
    </dxf>
    <dxf>
      <fill>
        <patternFill>
          <bgColor theme="8" tint="0.59996337778862885"/>
        </patternFill>
      </fill>
    </dxf>
    <dxf>
      <fill>
        <patternFill>
          <bgColor theme="8" tint="0.59996337778862885"/>
        </patternFill>
      </fill>
    </dxf>
    <dxf>
      <border>
        <top style="thin">
          <color auto="1"/>
        </top>
        <bottom style="hair">
          <color auto="1"/>
        </bottom>
        <vertical/>
        <horizontal/>
      </border>
    </dxf>
    <dxf>
      <border>
        <top style="thin">
          <color auto="1"/>
        </top>
        <bottom style="hair">
          <color auto="1"/>
        </bottom>
        <vertical/>
        <horizontal/>
      </border>
    </dxf>
    <dxf>
      <border>
        <top style="thin">
          <color auto="1"/>
        </top>
        <bottom style="hair">
          <color auto="1"/>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ont>
        <b/>
        <i val="0"/>
      </font>
    </dxf>
    <dxf>
      <font>
        <b/>
        <i val="0"/>
      </font>
    </dxf>
    <dxf>
      <font>
        <b/>
        <i val="0"/>
      </font>
    </dxf>
    <dxf>
      <fill>
        <patternFill>
          <bgColor theme="4" tint="0.79998168889431442"/>
        </patternFill>
      </fill>
    </dxf>
    <dxf>
      <fill>
        <patternFill>
          <bgColor theme="4" tint="0.79998168889431442"/>
        </patternFill>
      </fill>
    </dxf>
    <dxf>
      <fill>
        <patternFill>
          <bgColor theme="6"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86;&#1095;&#1077;&#1085;&#1072;&#1103;%20&#1054;.&#1048;/2019.12.04%20-%202019%20&#1055;&#1060;&#1061;&#1044;,%20&#1057;&#1054;&#1064;%20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6.5"/>
      <sheetName val="2 - 2021"/>
      <sheetName val="2 - 2020"/>
      <sheetName val="2 - 2019"/>
      <sheetName val="6.6"/>
      <sheetName val="6.7"/>
    </sheetNames>
    <sheetDataSet>
      <sheetData sheetId="0" refreshError="1"/>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id="1" name="Расходы_2" displayName="Расходы_2" ref="A68:R116" totalsRowCount="1" headerRowDxfId="163" dataDxfId="161" headerRowBorderDxfId="162" tableBorderDxfId="160" totalsRowBorderDxfId="159">
  <autoFilter ref="A68:R115"/>
  <sortState ref="A69:R115">
    <sortCondition ref="L68:L115"/>
  </sortState>
  <tableColumns count="18">
    <tableColumn id="10" name="1" dataDxfId="158" totalsRowDxfId="157" dataCellStyle="Обычный 2">
      <calculatedColumnFormula>IF(Расходы_2[[#This Row],[КВР]]&gt;=
IF(SUBTOTAL(109,L68)&gt;0,SUBTOTAL(109,L68),
IF(SUBTOTAL(109,L67)&gt;0,SUBTOTAL(109,L67),
IF(SUBTOTAL(109,L66)&gt;0,SUBTOTAL(109,L66),
IF(SUBTOTAL(109,L65)&gt;0,SUBTOTAL(109,L65),
IF(SUBTOTAL(109,L64)&gt;0,SUBTOTAL(109,L64),
IF(SUBTOTAL(109,L63)&gt;0,SUBTOTAL(109,L63),
IF(SUBTOTAL(109,L62)&gt;0,SUBTOTAL(109,L62),
IF(SUBTOTAL(109,L61)&gt;0,SUBTOTAL(109,L61),
IF(SUBTOTAL(109,L60)&gt;0,SUBTOTAL(109,L60),
IF(SUBTOTAL(109,L59)&gt;0,SUBTOTAL(109,L59),
IF(SUBTOTAL(109,L58)&gt;0,SUBTOTAL(109,L59),
IF(SUBTOTAL(109,L57)&gt;0,SUBTOTAL(109,L57),
IF(SUBTOTAL(109,L56)&gt;0,SUBTOTAL(109,L56),
IF(SUBTOTAL(109,L55)&gt;0,SUBTOTAL(109,L55),
IF(SUBTOTAL(109,L54)&gt;0,SUBTOTAL(109,L54),
IF(SUBTOTAL(109,L53)&gt;0,SUBTOTAL(109,L53),
IF(SUBTOTAL(109,L52)&gt;0,SUBTOTAL(109,L52),
IF(SUBTOTAL(109,L51)&gt;0,SUBTOTAL(109,L51),
IF(SUBTOTAL(109,L50)&gt;0,SUBTOTAL(109,L50),
))))))))))))))))))),1,0)</calculatedColumnFormula>
    </tableColumn>
    <tableColumn id="11" name="2" dataDxfId="156" totalsRowDxfId="155" dataCellStyle="Обычный 2"/>
    <tableColumn id="12" name="3" dataDxfId="154" totalsRowDxfId="153" dataCellStyle="Обычный 2">
      <calculatedColumnFormula>IF(Расходы_2[[#This Row],[КОСГУ]]&gt;=
IF(SUBTOTAL(109,N68)&gt;0,SUBTOTAL(109,N68),
IF(SUBTOTAL(109,N67)&gt;0,SUBTOTAL(109,N67),
IF(SUBTOTAL(109,N66)&gt;0,SUBTOTAL(109,N66),
IF(SUBTOTAL(109,N65)&gt;0,SUBTOTAL(109,N65),
IF(SUBTOTAL(109,N64)&gt;0,SUBTOTAL(109,N64),
IF(SUBTOTAL(109,N63)&gt;0,SUBTOTAL(109,N63),
IF(SUBTOTAL(109,N62)&gt;0,SUBTOTAL(109,N62),
IF(SUBTOTAL(109,N61)&gt;0,SUBTOTAL(109,N61),
IF(SUBTOTAL(109,N60)&gt;0,SUBTOTAL(109,N60),
IF(SUBTOTAL(109,N59)&gt;0,SUBTOTAL(109,N59),
IF(SUBTOTAL(109,N58)&gt;0,SUBTOTAL(109,N59),
IF(SUBTOTAL(109,N57)&gt;0,SUBTOTAL(109,N57),
IF(SUBTOTAL(109,N56)&gt;0,SUBTOTAL(109,N56),
IF(SUBTOTAL(109,N55)&gt;0,SUBTOTAL(109,N55),
IF(SUBTOTAL(109,N54)&gt;0,SUBTOTAL(109,N54),
IF(SUBTOTAL(109,N53)&gt;0,SUBTOTAL(109,N53),
IF(SUBTOTAL(109,N52)&gt;0,SUBTOTAL(109,N52),
IF(SUBTOTAL(109,N51)&gt;0,SUBTOTAL(109,N51),
IF(SUBTOTAL(109,N50)&gt;0,SUBTOTAL(109,N50),
))))))))))))))))))),1,0)</calculatedColumnFormula>
    </tableColumn>
    <tableColumn id="13" name="32" dataDxfId="152" totalsRowDxfId="151" dataCellStyle="Обычный 2">
      <calculatedColumnFormula>IF(Расходы_2[[#This Row],[КВР]]&gt;
IF(SUBTOTAL(109,L68)&gt;0,SUBTOTAL(109,L68),
IF(SUBTOTAL(109,L67)&gt;0,SUBTOTAL(109,L67),
IF(SUBTOTAL(109,L66)&gt;0,SUBTOTAL(109,L66),
IF(SUBTOTAL(109,L65)&gt;0,SUBTOTAL(109,L65),
IF(SUBTOTAL(109,L64)&gt;0,SUBTOTAL(109,L64),
IF(SUBTOTAL(109,L63)&gt;0,SUBTOTAL(109,L63),
IF(SUBTOTAL(109,L62)&gt;0,SUBTOTAL(109,L62),
IF(SUBTOTAL(109,L61)&gt;0,SUBTOTAL(109,L61),
IF(SUBTOTAL(109,L60)&gt;0,SUBTOTAL(109,L60),
IF(SUBTOTAL(109,L59)&gt;0,SUBTOTAL(109,L59),
IF(SUBTOTAL(109,L58)&gt;0,SUBTOTAL(109,L59),
IF(SUBTOTAL(109,L57)&gt;0,SUBTOTAL(109,L57),
IF(SUBTOTAL(109,L56)&gt;0,SUBTOTAL(109,L56),
IF(SUBTOTAL(109,L55)&gt;0,SUBTOTAL(109,L55),
IF(SUBTOTAL(109,L54)&gt;0,SUBTOTAL(109,L54),
IF(SUBTOTAL(109,L53)&gt;0,SUBTOTAL(109,L53),
IF(SUBTOTAL(109,L52)&gt;0,SUBTOTAL(109,L52),
IF(SUBTOTAL(109,L51)&gt;0,SUBTOTAL(109,L51),
IF(SUBTOTAL(109,L50)&gt;0,SUBTOTAL(109,L50),
))))))))))))))))))),1,0)</calculatedColumnFormula>
    </tableColumn>
    <tableColumn id="14" name="33" dataDxfId="150" totalsRowDxfId="149" dataCellStyle="Обычный 2">
      <calculatedColumnFormula>IF(AND(Расходы_2[[#This Row],[КЦ]]="14561Э",M68="14561Т"),1,
IF(Расходы_2[[#This Row],[КЦ]]&gt;
IF(SUBTOTAL(109,M68)&gt;0,SUBTOTAL(109,M68),
IF(SUBTOTAL(109,M67)&gt;0,SUBTOTAL(109,M67),
IF(SUBTOTAL(109,M66)&gt;0,SUBTOTAL(109,M66),
IF(SUBTOTAL(109,M65)&gt;0,SUBTOTAL(109,M65),
IF(SUBTOTAL(109,M48)&gt;0,SUBTOTAL(109,M48),
IF(SUBTOTAL(109,M47)&gt;0,SUBTOTAL(109,M47))))))),1,0))</calculatedColumnFormula>
    </tableColumn>
    <tableColumn id="15" name="34" dataDxfId="148" totalsRowDxfId="147" dataCellStyle="Обычный 2">
      <calculatedColumnFormula>IF(Расходы_2[[#This Row],[КОСГУ]]&gt;
IF(SUBTOTAL(109,N68)&gt;0,SUBTOTAL(109,N68),
IF(SUBTOTAL(109,N67)&gt;0,SUBTOTAL(109,N67),
IF(SUBTOTAL(109,N66)&gt;0,SUBTOTAL(109,N66),
IF(SUBTOTAL(109,N65)&gt;0,SUBTOTAL(109,N65),
IF(SUBTOTAL(109,N64)&gt;0,SUBTOTAL(109,N64),
IF(SUBTOTAL(109,N63)&gt;0,SUBTOTAL(109,N63),
IF(SUBTOTAL(109,N62)&gt;0,SUBTOTAL(109,N62),
IF(SUBTOTAL(109,N61)&gt;0,SUBTOTAL(109,N61),
IF(SUBTOTAL(109,N60)&gt;0,SUBTOTAL(109,N60),
IF(SUBTOTAL(109,N59)&gt;0,SUBTOTAL(109,N59),
IF(SUBTOTAL(109,N58)&gt;0,SUBTOTAL(109,N59),
IF(SUBTOTAL(109,N57)&gt;0,SUBTOTAL(109,N57),
IF(SUBTOTAL(109,N56)&gt;0,SUBTOTAL(109,N56),
IF(SUBTOTAL(109,N55)&gt;0,SUBTOTAL(109,N55),
IF(SUBTOTAL(109,N54)&gt;0,SUBTOTAL(109,N54),
IF(SUBTOTAL(109,N53)&gt;0,SUBTOTAL(109,N53),
IF(SUBTOTAL(109,N52)&gt;0,SUBTOTAL(109,N52),
IF(SUBTOTAL(109,N51)&gt;0,SUBTOTAL(109,N51),
IF(SUBTOTAL(109,N50)&gt;0,SUBTOTAL(109,N50),
))))))))))))))))))),1,0)</calculatedColumnFormula>
    </tableColumn>
    <tableColumn id="16" name="4" dataDxfId="146" totalsRowDxfId="145" dataCellStyle="Обычный 2">
      <calculatedColumnFormula>_xlfn.AGGREGATE(9,5,$D$69:D69)</calculatedColumnFormula>
    </tableColumn>
    <tableColumn id="17" name="5" dataDxfId="144" totalsRowDxfId="143" dataCellStyle="Обычный 2">
      <calculatedColumnFormula>_xlfn.AGGREGATE(9,5,$E$69:E69)</calculatedColumnFormula>
    </tableColumn>
    <tableColumn id="18" name="6" dataDxfId="142" totalsRowDxfId="141" dataCellStyle="Обычный 2">
      <calculatedColumnFormula>_xlfn.AGGREGATE(9,5,$F$69:F69)</calculatedColumnFormula>
    </tableColumn>
    <tableColumn id="9" name="скрыть" dataDxfId="140" totalsRowDxfId="139" dataCellStyle="Обычный 2">
      <calculatedColumnFormula>IF(SUM(Расходы_2[[#This Row],[2 025]:[2 027]])=0,"000",".")</calculatedColumnFormula>
    </tableColumn>
    <tableColumn id="1" name="КФО" dataDxfId="138" totalsRowDxfId="137" dataCellStyle="Обычный 2"/>
    <tableColumn id="2" name="КВР" dataDxfId="136" totalsRowDxfId="135" dataCellStyle="Обычный 2"/>
    <tableColumn id="3" name="КЦ" dataDxfId="134" totalsRowDxfId="133" dataCellStyle="Обычный 2"/>
    <tableColumn id="4" name="КОСГУ" dataDxfId="132" totalsRowDxfId="131" dataCellStyle="Обычный 2"/>
    <tableColumn id="5" name="2 025" dataDxfId="130" totalsRowDxfId="129" dataCellStyle="Обычный_Титульный"/>
    <tableColumn id="6" name="2 026" dataDxfId="128" totalsRowDxfId="127" dataCellStyle="Обычный_Титульный"/>
    <tableColumn id="7" name="2 027" dataDxfId="126" totalsRowDxfId="125" dataCellStyle="Обычный_Титульный"/>
    <tableColumn id="8" name="текст" dataDxfId="124" totalsRowDxfId="123" dataCellStyle="Обычный 2"/>
  </tableColumns>
  <tableStyleInfo name="TableStyleLight11" showFirstColumn="0" showLastColumn="0" showRowStripes="1" showColumnStripes="0"/>
</table>
</file>

<file path=xl/tables/table2.xml><?xml version="1.0" encoding="utf-8"?>
<table xmlns="http://schemas.openxmlformats.org/spreadsheetml/2006/main" id="2" name="Расходы_4" displayName="Расходы_4" ref="A138:R238" totalsRowShown="0" headerRowDxfId="122" dataDxfId="120" headerRowBorderDxfId="121" tableBorderDxfId="119" totalsRowBorderDxfId="118">
  <autoFilter ref="A138:R238"/>
  <sortState ref="A139:R238">
    <sortCondition ref="L138:L238"/>
  </sortState>
  <tableColumns count="18">
    <tableColumn id="16" name="1" dataDxfId="117">
      <calculatedColumnFormula>IF(Расходы_4[[#This Row],[КВР]]&gt;=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IF(SUBTOTAL(109,L129)&gt;0,SUBTOTAL(109,L129),
IF(SUBTOTAL(109,L128)&gt;0,SUBTOTAL(109,L128),
IF(SUBTOTAL(109,L127)&gt;0,SUBTOTAL(109,L127),
IF(SUBTOTAL(109,L126)&gt;0,SUBTOTAL(109,L126),
))))))))))))),1,0)</calculatedColumnFormula>
    </tableColumn>
    <tableColumn id="17" name="2" dataDxfId="116">
      <calculatedColumnFormula>IF(AND(Расходы_4[[#This Row],[КЦ]]="14561Э",M138="14561Т"),1,
IF(Расходы_4[[#This Row],[КЦ]]&gt;=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IF(SUBTOTAL(109,M129)&gt;0,SUBTOTAL(109,M129),
IF(SUBTOTAL(109,M128)&gt;0,SUBTOTAL(109,M128),
IF(SUBTOTAL(109,M127)&gt;0,SUBTOTAL(109,M127),
IF(SUBTOTAL(109,M126)&gt;0,SUBTOTAL(109,M126),
))))))))))))),1,0))</calculatedColumnFormula>
    </tableColumn>
    <tableColumn id="18" name="3" dataDxfId="115">
      <calculatedColumnFormula>IF(Расходы_4[[#This Row],[КОСГУ]]&gt;=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IF(SUBTOTAL(109,N129)&gt;0,SUBTOTAL(109,N129),
IF(SUBTOTAL(109,N128)&gt;0,SUBTOTAL(109,N128),
IF(SUBTOTAL(109,N127)&gt;0,SUBTOTAL(109,N127),
IF(SUBTOTAL(109,N126)&gt;0,SUBTOTAL(109,N126),
))))))))))))),1,0)</calculatedColumnFormula>
    </tableColumn>
    <tableColumn id="22" name="32" dataDxfId="114">
      <calculatedColumnFormula>IF(Расходы_4[[#This Row],[КВР]]&gt;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IF(SUBTOTAL(109,L129)&gt;0,SUBTOTAL(109,L129),
IF(SUBTOTAL(109,L128)&gt;0,SUBTOTAL(109,L128),
IF(SUBTOTAL(109,L127)&gt;0,SUBTOTAL(109,L127),
IF(SUBTOTAL(109,L126)&gt;0,SUBTOTAL(109,L126),
))))))))))))),1,0)</calculatedColumnFormula>
    </tableColumn>
    <tableColumn id="23" name="33" dataDxfId="113">
      <calculatedColumnFormula>IF(AND(Расходы_4[[#This Row],[КЦ]]="14561Э",M138="14561Т"),1,
IF(Расходы_4[[#This Row],[КЦ]]&gt;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IF(SUBTOTAL(109,M129)&gt;0,SUBTOTAL(109,M129),
IF(SUBTOTAL(109,M128)&gt;0,SUBTOTAL(109,M128),
IF(SUBTOTAL(109,M127)&gt;0,SUBTOTAL(109,M127),
IF(SUBTOTAL(109,M126)&gt;0,SUBTOTAL(109,M126),
))))))))))))),1,0))</calculatedColumnFormula>
    </tableColumn>
    <tableColumn id="24" name="34" dataDxfId="112">
      <calculatedColumnFormula>IF(Расходы_4[[#This Row],[КОСГУ]]&gt;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IF(SUBTOTAL(109,N129)&gt;0,SUBTOTAL(109,N129),
IF(SUBTOTAL(109,N128)&gt;0,SUBTOTAL(109,N128),
IF(SUBTOTAL(109,N127)&gt;0,SUBTOTAL(109,N127),
IF(SUBTOTAL(109,N126)&gt;0,SUBTOTAL(109,N126),
))))))))))))),1,0)</calculatedColumnFormula>
    </tableColumn>
    <tableColumn id="19" name="4" dataDxfId="111">
      <calculatedColumnFormula>_xlfn.AGGREGATE(9,5,$D$139:D139)</calculatedColumnFormula>
    </tableColumn>
    <tableColumn id="20" name="5" dataDxfId="110">
      <calculatedColumnFormula>_xlfn.AGGREGATE(9,5,$E$139:E139)</calculatedColumnFormula>
    </tableColumn>
    <tableColumn id="21" name="6" dataDxfId="109">
      <calculatedColumnFormula>_xlfn.AGGREGATE(9,5,$F$139:F139)</calculatedColumnFormula>
    </tableColumn>
    <tableColumn id="9" name="скрыть" dataDxfId="108">
      <calculatedColumnFormula>IF(SUM(Расходы_4[[#This Row],[2 025]:[2 027]])=0,"000",".")</calculatedColumnFormula>
    </tableColumn>
    <tableColumn id="1" name="КФО" dataDxfId="107"/>
    <tableColumn id="2" name="КВР" dataDxfId="106"/>
    <tableColumn id="3" name="КЦ" dataDxfId="105"/>
    <tableColumn id="4" name="КОСГУ" dataDxfId="104"/>
    <tableColumn id="5" name="2 025" dataDxfId="103">
      <calculatedColumnFormula>2209100+50007750</calculatedColumnFormula>
    </tableColumn>
    <tableColumn id="6" name="2 026" dataDxfId="102">
      <calculatedColumnFormula>2209100+50007750</calculatedColumnFormula>
    </tableColumn>
    <tableColumn id="7" name="2 027" dataDxfId="101">
      <calculatedColumnFormula>2209100+50007750</calculatedColumnFormula>
    </tableColumn>
    <tableColumn id="8" name="текст" dataDxfId="100"/>
  </tableColumns>
  <tableStyleInfo name="TableStyleLight11" showFirstColumn="0" showLastColumn="0" showRowStripes="1" showColumnStripes="0"/>
</table>
</file>

<file path=xl/tables/table3.xml><?xml version="1.0" encoding="utf-8"?>
<table xmlns="http://schemas.openxmlformats.org/spreadsheetml/2006/main" id="3" name="Расходы_5" displayName="Расходы_5" ref="A260:R292" totalsRowShown="0" headerRowDxfId="99" dataDxfId="97" headerRowBorderDxfId="98" tableBorderDxfId="96" totalsRowBorderDxfId="95">
  <autoFilter ref="A260:R292"/>
  <sortState ref="A261:R292">
    <sortCondition ref="L260:L292"/>
  </sortState>
  <tableColumns count="18">
    <tableColumn id="10" name="1" dataDxfId="94">
      <calculatedColumnFormula>IF(Расходы_5[[#This Row],[КВР]]&gt;=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IF(SUBTOTAL(109,L248)&gt;0,SUBTOTAL(109,L248),
IF(SUBTOTAL(109,L247)&gt;0,SUBTOTAL(109,L247),
IF(SUBTOTAL(109,L246)&gt;0,SUBTOTAL(109,L246),
IF(SUBTOTAL(109,L245)&gt;0,SUBTOTAL(109,L245),
)))))))))))))))),1,0)</calculatedColumnFormula>
    </tableColumn>
    <tableColumn id="11" name="2" dataDxfId="93">
      <calculatedColumnFormula>IF(Расходы_5[[#This Row],[КЦ]]&gt;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IF(SUBTOTAL(109,M248)&gt;0,SUBTOTAL(109,M248),
IF(SUBTOTAL(109,M247)&gt;0,SUBTOTAL(109,M247),
IF(SUBTOTAL(109,M246)&gt;0,SUBTOTAL(109,M246),
IF(SUBTOTAL(109,M245)&gt;0,SUBTOTAL(109,M245),
)))))))))))))))),1,0)</calculatedColumnFormula>
    </tableColumn>
    <tableColumn id="12" name="3" dataDxfId="92">
      <calculatedColumnFormula>IF(Расходы_5[[#This Row],[КОСГУ]]&gt;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IF(SUBTOTAL(109,N251)&gt;0,SUBTOTAL(109,N251),
IF(SUBTOTAL(109,N250)&gt;0,SUBTOTAL(109,N250),
IF(SUBTOTAL(109,N249)&gt;0,SUBTOTAL(109,N249),
IF(SUBTOTAL(109,N248)&gt;0,SUBTOTAL(109,N248),
IF(SUBTOTAL(109,N247)&gt;0,SUBTOTAL(109,N247),
IF(SUBTOTAL(109,N246)&gt;0,SUBTOTAL(109,N246),
IF(SUBTOTAL(109,N245)&gt;0,SUBTOTAL(109,N245),
)))))))))))))))),1,0)</calculatedColumnFormula>
    </tableColumn>
    <tableColumn id="13" name="32" dataDxfId="91">
      <calculatedColumnFormula>IF(Расходы_5[[#This Row],[КВР]]&gt;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IF(SUBTOTAL(109,L248)&gt;0,SUBTOTAL(109,L248),
IF(SUBTOTAL(109,L247)&gt;0,SUBTOTAL(109,L247),
IF(SUBTOTAL(109,L246)&gt;0,SUBTOTAL(109,L246),
IF(SUBTOTAL(109,L245)&gt;0,SUBTOTAL(109,L245),
)))))))))))))))),1,0)</calculatedColumnFormula>
    </tableColumn>
    <tableColumn id="14" name="33" dataDxfId="90">
      <calculatedColumnFormula>IF(Расходы_5[[#This Row],[КЦ]]&gt;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IF(SUBTOTAL(109,M248)&gt;0,SUBTOTAL(109,M248),
IF(SUBTOTAL(109,M247)&gt;0,SUBTOTAL(109,M247),
IF(SUBTOTAL(109,M246)&gt;0,SUBTOTAL(109,M246),
IF(SUBTOTAL(109,M245)&gt;0,SUBTOTAL(109,M245),
)))))))))))))))),1,0)</calculatedColumnFormula>
    </tableColumn>
    <tableColumn id="15" name="34" dataDxfId="89">
      <calculatedColumnFormula>IF(Расходы_5[[#This Row],[КОСГУ]]&gt;
IF(SUBTOTAL(109,N260)&gt;0,SUBTOTAL(109,N260),
IF(SUBTOTAL(109,N259)&gt;0,SUBTOTAL(109,N259),
IF(SUBTOTAL(109,N258)&gt;0,SUBTOTAL(109,N258),
IF(SUBTOTAL(109,N239)&gt;0,SUBTOTAL(109,N239),
IF(SUBTOTAL(109,N238)&gt;0,SUBTOTAL(109,N238),
IF(SUBTOTAL(109,N237)&gt;0,SUBTOTAL(109,N237))))))),1,0)</calculatedColumnFormula>
    </tableColumn>
    <tableColumn id="16" name="4" dataDxfId="88">
      <calculatedColumnFormula>_xlfn.AGGREGATE(9,5,$D$261:D261)</calculatedColumnFormula>
    </tableColumn>
    <tableColumn id="17" name="5" dataDxfId="87">
      <calculatedColumnFormula>_xlfn.AGGREGATE(9,5,$E$261:E261)</calculatedColumnFormula>
    </tableColumn>
    <tableColumn id="18" name="6" dataDxfId="86">
      <calculatedColumnFormula>_xlfn.AGGREGATE(9,5,$F$261:F261)</calculatedColumnFormula>
    </tableColumn>
    <tableColumn id="9" name="скрыть" dataDxfId="85">
      <calculatedColumnFormula>IF(SUM(Расходы_5[[#This Row],[2 025]:[2 027]])=0,"000",".")</calculatedColumnFormula>
    </tableColumn>
    <tableColumn id="1" name="КФО" dataDxfId="84"/>
    <tableColumn id="2" name="КВР" dataDxfId="83"/>
    <tableColumn id="3" name="КЦ" dataDxfId="82"/>
    <tableColumn id="4" name="КОСГУ" dataDxfId="81"/>
    <tableColumn id="5" name="2 025" dataDxfId="80"/>
    <tableColumn id="6" name="2 026" dataDxfId="79"/>
    <tableColumn id="7" name="2 027" dataDxfId="78"/>
    <tableColumn id="8" name="текст" dataDxfId="77"/>
  </tableColumns>
  <tableStyleInfo name="TableStyleLight11" showFirstColumn="0" showLastColumn="0" showRowStripes="1" showColumnStripes="0"/>
</table>
</file>

<file path=xl/tables/table4.xml><?xml version="1.0" encoding="utf-8"?>
<table xmlns="http://schemas.openxmlformats.org/spreadsheetml/2006/main" id="4" name="Доходы" displayName="Доходы" ref="A24:R47" totalsRowShown="0" headerRowDxfId="76" dataDxfId="74" headerRowBorderDxfId="75" tableBorderDxfId="73" totalsRowBorderDxfId="72">
  <autoFilter ref="A24:R47"/>
  <tableColumns count="18">
    <tableColumn id="10" name="Столбец1" dataDxfId="71"/>
    <tableColumn id="11" name="Столбец2" dataDxfId="70"/>
    <tableColumn id="12" name="Столбец3" dataDxfId="69"/>
    <tableColumn id="13" name="Столбец4" dataDxfId="68"/>
    <tableColumn id="14" name="Столбец5" dataDxfId="67"/>
    <tableColumn id="15" name="Столбец6" dataDxfId="66"/>
    <tableColumn id="16" name="Столбец7" dataDxfId="65"/>
    <tableColumn id="17" name="Столбец8" dataDxfId="64"/>
    <tableColumn id="18" name="Столбец9" dataDxfId="63"/>
    <tableColumn id="9" name="скрыть" dataDxfId="62">
      <calculatedColumnFormula>IF(SUM(Доходы[[#This Row],[2 025]:[2 027]])=0,"000",".")</calculatedColumnFormula>
    </tableColumn>
    <tableColumn id="1" name="КФО" dataDxfId="61"/>
    <tableColumn id="2" name="КВР" dataDxfId="60"/>
    <tableColumn id="3" name="." dataDxfId="59"/>
    <tableColumn id="4" name=".." dataDxfId="58"/>
    <tableColumn id="5" name="2 025" dataDxfId="57"/>
    <tableColumn id="6" name="2 026" dataDxfId="56"/>
    <tableColumn id="7" name="2 027" dataDxfId="55"/>
    <tableColumn id="8" name="текст" dataDxfId="54"/>
  </tableColumns>
  <tableStyleInfo name="TableStyleMedium2" showFirstColumn="0" showLastColumn="0" showRowStripes="1" showColumnStripes="0"/>
</table>
</file>

<file path=xl/tables/table5.xml><?xml version="1.0" encoding="utf-8"?>
<table xmlns="http://schemas.openxmlformats.org/spreadsheetml/2006/main" id="6" name="Таблица6" displayName="Таблица6" ref="A1:C56" totalsRowShown="0" headerRowBorderDxfId="4" tableBorderDxfId="3">
  <autoFilter ref="A1:C56"/>
  <sortState ref="A2:C56">
    <sortCondition ref="B1:B56"/>
  </sortState>
  <tableColumns count="3">
    <tableColumn id="1" name="2024" dataDxfId="2"/>
    <tableColumn id="2" name="2022" dataDxfId="1"/>
    <tableColumn id="3" name="наименование" dataDxfId="0"/>
  </tableColumns>
  <tableStyleInfo name="TableStyleMedium4"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Лист1">
    <tabColor theme="7" tint="0.59999389629810485"/>
    <pageSetUpPr fitToPage="1"/>
  </sheetPr>
  <dimension ref="A1:CZ329"/>
  <sheetViews>
    <sheetView showZeros="0" topLeftCell="J1" zoomScale="85" zoomScaleNormal="85" zoomScaleSheetLayoutView="85" workbookViewId="0">
      <pane ySplit="5" topLeftCell="A206" activePane="bottomLeft" state="frozen"/>
      <selection activeCell="P64" sqref="P64"/>
      <selection pane="bottomLeft" activeCell="O225" sqref="O225"/>
    </sheetView>
  </sheetViews>
  <sheetFormatPr defaultColWidth="9.140625" defaultRowHeight="15.75"/>
  <cols>
    <col min="1" max="9" width="9.140625" style="50" hidden="1" customWidth="1"/>
    <col min="10" max="10" width="19.42578125" style="957" customWidth="1"/>
    <col min="11" max="13" width="13.5703125" style="62" customWidth="1"/>
    <col min="14" max="14" width="12.85546875" style="916" customWidth="1"/>
    <col min="15" max="15" width="20.28515625" style="62" customWidth="1"/>
    <col min="16" max="16" width="21" style="62" customWidth="1"/>
    <col min="17" max="17" width="20.85546875" style="62" customWidth="1"/>
    <col min="18" max="18" width="78.140625" style="62" customWidth="1"/>
    <col min="19" max="19" width="6.140625" style="1130" customWidth="1"/>
    <col min="20" max="20" width="15.42578125" style="62" customWidth="1"/>
    <col min="21" max="21" width="15.42578125" style="53" customWidth="1"/>
    <col min="22" max="22" width="20.7109375" style="53" customWidth="1"/>
    <col min="23" max="24" width="20.7109375" style="62" customWidth="1"/>
    <col min="25" max="25" width="23.7109375" style="50" customWidth="1"/>
    <col min="26" max="26" width="16.140625" style="50" customWidth="1"/>
    <col min="27" max="27" width="14.42578125" style="50" customWidth="1"/>
    <col min="28" max="28" width="9.140625" style="50"/>
    <col min="29" max="29" width="16.5703125" style="50" customWidth="1"/>
    <col min="30" max="16384" width="9.140625" style="50"/>
  </cols>
  <sheetData>
    <row r="1" spans="1:26" s="49" customFormat="1" ht="23.25" customHeight="1">
      <c r="J1" s="1122"/>
      <c r="K1" s="1119" t="s">
        <v>911</v>
      </c>
      <c r="L1" s="1120">
        <v>111</v>
      </c>
      <c r="M1" s="1120">
        <v>112</v>
      </c>
      <c r="N1" s="1120">
        <v>119</v>
      </c>
      <c r="O1" s="1120" t="s">
        <v>1011</v>
      </c>
      <c r="P1" s="1120" t="s">
        <v>275</v>
      </c>
      <c r="Q1" s="1121" t="s">
        <v>1010</v>
      </c>
      <c r="R1" s="1114"/>
      <c r="S1" s="1123"/>
      <c r="T1" s="1457">
        <v>738</v>
      </c>
      <c r="U1" s="1008"/>
      <c r="V1" s="1009">
        <v>2</v>
      </c>
      <c r="W1" s="1010">
        <v>4</v>
      </c>
      <c r="X1" s="1011">
        <v>5</v>
      </c>
      <c r="Y1" s="1460" t="s">
        <v>896</v>
      </c>
      <c r="Z1" s="1452" t="s">
        <v>1098</v>
      </c>
    </row>
    <row r="2" spans="1:26" s="49" customFormat="1" ht="23.25" customHeight="1">
      <c r="J2" s="1100" t="s">
        <v>1017</v>
      </c>
      <c r="K2" s="1064">
        <f>COUNTIF(доходы!_xlnm.Print_Area,"&lt;0")</f>
        <v>0</v>
      </c>
      <c r="L2" s="1065">
        <f>COUNTIF('111'!_xlnm.Print_Area,"&lt;0")</f>
        <v>4</v>
      </c>
      <c r="M2" s="1065">
        <f>COUNTIF('112, 113'!_xlnm.Print_Area,"&lt;0")</f>
        <v>0</v>
      </c>
      <c r="N2" s="1065">
        <f>COUNTIF('119, 321, 323, 350, 851, 852'!_xlnm.Print_Area,"&lt;0")</f>
        <v>0</v>
      </c>
      <c r="O2" s="1065">
        <f>COUNTIF('КФО 2'!_xlnm.Print_Area,"&lt;0")</f>
        <v>0</v>
      </c>
      <c r="P2" s="1065">
        <f>COUNTIF('КФО 4'!_xlnm.Print_Area,"&lt;0")</f>
        <v>0</v>
      </c>
      <c r="Q2" s="1066">
        <f>COUNTIF('КФО 5'!_xlnm.Print_Area,"&lt;0")</f>
        <v>0</v>
      </c>
      <c r="R2" s="1115" t="s">
        <v>1125</v>
      </c>
      <c r="S2" s="1124"/>
      <c r="T2" s="1458"/>
      <c r="U2" s="1012">
        <v>2025</v>
      </c>
      <c r="V2" s="1055">
        <f>ROUND(SUMIFS(Доходы[2 025],Доходы[КФО],V1)
+V45+V46
-SUMIFS(O69:O292,K69:K292,V1)
-V47,5)</f>
        <v>0</v>
      </c>
      <c r="W2" s="1056">
        <f>ROUND(SUMIFS(Доходы[2 025],Доходы[КФО],W1)
+W45+W46
-SUMIFS(O69:O292,K69:K292,W1)
-W47,5)</f>
        <v>0</v>
      </c>
      <c r="X2" s="1057">
        <f>ROUND(SUMIFS(Доходы[2 025],Доходы[КФО],X1)
+X45+X46
-SUMIFS(O69:O292,K69:K292,X1)
-X47,5)</f>
        <v>0</v>
      </c>
      <c r="Y2" s="1461"/>
      <c r="Z2" s="1453"/>
    </row>
    <row r="3" spans="1:26" s="49" customFormat="1" ht="23.25" customHeight="1">
      <c r="J3" s="1101" t="s">
        <v>1016</v>
      </c>
      <c r="K3" s="1067">
        <f>COUNTIF(доходы!AX1:BB505,"&gt;0")</f>
        <v>0</v>
      </c>
      <c r="L3" s="1068">
        <f>COUNTIF('111'!AA1:AE500,"&gt;0")</f>
        <v>0</v>
      </c>
      <c r="M3" s="1068">
        <f>COUNTIF('112, 113'!AA1:AE500,"&gt;0")</f>
        <v>0</v>
      </c>
      <c r="N3" s="1068">
        <f>COUNTIF('119, 321, 323, 350, 851, 852'!AA1:AE502,"&gt;0")</f>
        <v>1</v>
      </c>
      <c r="O3" s="1068">
        <f>COUNTIF('КФО 2'!AA1:AE500,"&gt;0")</f>
        <v>0</v>
      </c>
      <c r="P3" s="1068">
        <f>COUNTIF('КФО 4'!AB1:AF502,"&gt;0")</f>
        <v>0</v>
      </c>
      <c r="Q3" s="1069">
        <f>COUNTIF('КФО 5'!AA1:AE500,"&gt;0")</f>
        <v>0</v>
      </c>
      <c r="R3" s="1116" t="s">
        <v>1128</v>
      </c>
      <c r="S3" s="1124"/>
      <c r="T3" s="1458"/>
      <c r="U3" s="1013">
        <v>2026</v>
      </c>
      <c r="V3" s="1058">
        <f>SUMIFS(Доходы[2 026],Доходы[КФО],V1)
-SUMIFS(P69:P292,K69:K292,V1)</f>
        <v>0</v>
      </c>
      <c r="W3" s="1059">
        <f>SUMIFS(Доходы[2 026],Доходы[КФО],W1)
-SUMIFS(P69:P292,K69:K292,W1)</f>
        <v>0</v>
      </c>
      <c r="X3" s="1060">
        <f>SUMIFS(Доходы[2 026],Доходы[КФО],X1)
-SUMIFS(P69:P292,K69:K292,X1)</f>
        <v>0</v>
      </c>
      <c r="Y3" s="1461"/>
      <c r="Z3" s="1453"/>
    </row>
    <row r="4" spans="1:26" s="49" customFormat="1" ht="23.25" customHeight="1">
      <c r="J4" s="1099"/>
      <c r="K4" s="994" t="s">
        <v>15</v>
      </c>
      <c r="L4" s="1455">
        <v>45833</v>
      </c>
      <c r="M4" s="1455"/>
      <c r="N4" s="1456"/>
      <c r="O4" s="1006">
        <v>2025</v>
      </c>
      <c r="P4" s="1006">
        <v>2026</v>
      </c>
      <c r="Q4" s="1007">
        <v>2027</v>
      </c>
      <c r="R4" s="1117" t="s">
        <v>1127</v>
      </c>
      <c r="S4" s="1125"/>
      <c r="T4" s="1459"/>
      <c r="U4" s="1014">
        <v>2027</v>
      </c>
      <c r="V4" s="1061">
        <f>SUMIFS(Доходы[2 027],Доходы[КФО],V1)
-SUMIFS(Q69:Q292,K69:K292,V1)</f>
        <v>0</v>
      </c>
      <c r="W4" s="1062">
        <f>SUMIFS(Доходы[2 027],Доходы[КФО],W1)
-SUMIFS(Q69:Q292,K69:K292,W1)</f>
        <v>0</v>
      </c>
      <c r="X4" s="1063">
        <f>SUMIFS(Доходы[2 027],Доходы[КФО],X1)
-SUMIFS(Q69:Q292,K69:K292,X1)</f>
        <v>0</v>
      </c>
      <c r="Y4" s="1462"/>
      <c r="Z4" s="1454"/>
    </row>
    <row r="5" spans="1:26" s="49" customFormat="1" ht="23.25" customHeight="1">
      <c r="A5" s="52"/>
      <c r="B5" s="52"/>
      <c r="C5" s="52"/>
      <c r="D5" s="52"/>
      <c r="E5" s="52"/>
      <c r="F5" s="52"/>
      <c r="G5" s="52"/>
      <c r="H5" s="52"/>
      <c r="I5" s="52"/>
      <c r="J5" s="954"/>
      <c r="K5" s="1094"/>
      <c r="L5" s="1095"/>
      <c r="M5" s="1095"/>
      <c r="N5" s="1096"/>
      <c r="O5" s="1097"/>
      <c r="P5" s="1097"/>
      <c r="Q5" s="1097"/>
      <c r="R5" s="1095"/>
      <c r="S5" s="1126"/>
      <c r="X5" s="1090">
        <v>2025</v>
      </c>
      <c r="Y5" s="1098"/>
    </row>
    <row r="6" spans="1:26" s="52" customFormat="1" ht="23.25" customHeight="1">
      <c r="J6" s="955"/>
      <c r="K6" s="921"/>
      <c r="L6" s="923"/>
      <c r="M6" s="923"/>
      <c r="N6" s="923"/>
      <c r="O6" s="922"/>
      <c r="P6" s="922"/>
      <c r="Q6" s="922"/>
      <c r="R6" s="923"/>
      <c r="S6" s="1127"/>
      <c r="X6" s="959"/>
      <c r="Y6" s="924"/>
    </row>
    <row r="7" spans="1:26" s="52" customFormat="1" ht="23.25" customHeight="1">
      <c r="J7" s="955"/>
      <c r="K7" s="921"/>
      <c r="L7" s="923"/>
      <c r="M7" s="923"/>
      <c r="N7" s="923"/>
      <c r="O7" s="922"/>
      <c r="P7" s="922"/>
      <c r="Q7" s="922"/>
      <c r="R7" s="923"/>
      <c r="S7" s="1127"/>
      <c r="X7" s="959"/>
      <c r="Y7" s="924"/>
    </row>
    <row r="8" spans="1:26" s="52" customFormat="1" ht="23.25" customHeight="1">
      <c r="J8" s="1468" t="s">
        <v>910</v>
      </c>
      <c r="K8" s="1469"/>
      <c r="L8" s="1469"/>
      <c r="M8" s="1470"/>
      <c r="N8" s="1463" t="s">
        <v>1018</v>
      </c>
      <c r="O8" s="1464"/>
      <c r="P8" s="1464"/>
      <c r="Q8" s="1473"/>
      <c r="R8" s="923"/>
      <c r="S8" s="1127"/>
      <c r="X8" s="959"/>
      <c r="Y8" s="924"/>
    </row>
    <row r="9" spans="1:26" s="52" customFormat="1" ht="35.25" customHeight="1">
      <c r="J9" s="1471" t="s">
        <v>908</v>
      </c>
      <c r="K9" s="1472"/>
      <c r="L9" s="1107" t="s">
        <v>907</v>
      </c>
      <c r="M9" s="936" t="s">
        <v>1123</v>
      </c>
      <c r="N9" s="1112"/>
      <c r="O9" s="1110">
        <v>2025</v>
      </c>
      <c r="P9" s="1076">
        <v>2026</v>
      </c>
      <c r="Q9" s="934">
        <v>2027</v>
      </c>
      <c r="R9" s="923"/>
      <c r="S9" s="1127"/>
      <c r="X9" s="959"/>
      <c r="Y9" s="924"/>
    </row>
    <row r="10" spans="1:26" s="52" customFormat="1" ht="23.25" customHeight="1">
      <c r="J10" s="1474" t="s">
        <v>272</v>
      </c>
      <c r="K10" s="1475"/>
      <c r="L10" s="1203">
        <v>4.9000000000000004</v>
      </c>
      <c r="M10" s="1204">
        <v>10511.2</v>
      </c>
      <c r="N10" s="1113"/>
      <c r="O10" s="1111">
        <v>2</v>
      </c>
      <c r="P10" s="992">
        <v>2</v>
      </c>
      <c r="Q10" s="993">
        <v>2</v>
      </c>
      <c r="R10" s="923"/>
      <c r="S10" s="1127"/>
      <c r="X10" s="959"/>
      <c r="Y10" s="924"/>
    </row>
    <row r="11" spans="1:26" s="52" customFormat="1" ht="23.25" customHeight="1">
      <c r="J11" s="1476" t="s">
        <v>273</v>
      </c>
      <c r="K11" s="1477"/>
      <c r="L11" s="1205">
        <v>67.8</v>
      </c>
      <c r="M11" s="1206">
        <v>86425.8</v>
      </c>
      <c r="N11" s="923"/>
      <c r="O11" s="922"/>
      <c r="P11" s="922"/>
      <c r="Q11" s="922"/>
      <c r="R11" s="923"/>
      <c r="S11" s="1127"/>
      <c r="X11" s="959"/>
      <c r="Y11" s="924"/>
    </row>
    <row r="12" spans="1:26" s="52" customFormat="1" ht="23.25" customHeight="1">
      <c r="J12" s="1476" t="s">
        <v>490</v>
      </c>
      <c r="K12" s="1477"/>
      <c r="L12" s="1205"/>
      <c r="M12" s="1206">
        <v>19854.599999999999</v>
      </c>
      <c r="N12" s="923"/>
      <c r="O12" s="922"/>
      <c r="P12" s="922"/>
      <c r="Q12" s="922"/>
      <c r="R12" s="923"/>
      <c r="S12" s="1127"/>
      <c r="X12" s="959"/>
      <c r="Y12" s="924"/>
    </row>
    <row r="13" spans="1:26" s="52" customFormat="1" ht="23.25" customHeight="1">
      <c r="J13" s="1476" t="s">
        <v>274</v>
      </c>
      <c r="K13" s="1477"/>
      <c r="L13" s="1205">
        <v>29.2</v>
      </c>
      <c r="M13" s="1206"/>
      <c r="N13" s="923"/>
      <c r="O13" s="922"/>
      <c r="P13" s="922"/>
      <c r="Q13" s="922"/>
      <c r="R13" s="923"/>
      <c r="S13" s="1127"/>
      <c r="X13" s="959"/>
      <c r="Y13" s="924"/>
    </row>
    <row r="14" spans="1:26" s="52" customFormat="1" ht="23.25" customHeight="1">
      <c r="J14" s="1449" t="s">
        <v>438</v>
      </c>
      <c r="K14" s="1450"/>
      <c r="L14" s="1207">
        <f>SUM(L10:L13)</f>
        <v>101.9</v>
      </c>
      <c r="M14" s="1208">
        <f>SUM(M10:M13)</f>
        <v>116791.6</v>
      </c>
      <c r="N14" s="923"/>
      <c r="O14" s="922"/>
      <c r="P14" s="922"/>
      <c r="Q14" s="922"/>
      <c r="R14" s="1118"/>
      <c r="S14" s="1127"/>
      <c r="X14" s="959"/>
      <c r="Y14" s="924"/>
    </row>
    <row r="15" spans="1:26" s="52" customFormat="1" ht="23.25" customHeight="1">
      <c r="J15" s="955"/>
      <c r="K15" s="921"/>
      <c r="L15" s="923"/>
      <c r="M15" s="923"/>
      <c r="N15" s="923"/>
      <c r="O15" s="922"/>
      <c r="P15" s="922"/>
      <c r="Q15" s="922"/>
      <c r="R15" s="923"/>
      <c r="S15" s="1127"/>
      <c r="X15" s="959"/>
      <c r="Y15" s="924"/>
    </row>
    <row r="16" spans="1:26" s="52" customFormat="1" ht="23.25" customHeight="1">
      <c r="J16" s="1463" t="s">
        <v>895</v>
      </c>
      <c r="K16" s="1464"/>
      <c r="L16" s="1464"/>
      <c r="M16" s="1464"/>
      <c r="N16" s="1465" t="s">
        <v>909</v>
      </c>
      <c r="O16" s="1466"/>
      <c r="P16" s="1466"/>
      <c r="Q16" s="1467"/>
      <c r="R16" s="923"/>
      <c r="S16" s="1127"/>
      <c r="Y16" s="924"/>
    </row>
    <row r="17" spans="1:31" s="52" customFormat="1" ht="23.25" customHeight="1">
      <c r="J17" s="1091"/>
      <c r="K17" s="1147">
        <v>2025</v>
      </c>
      <c r="L17" s="1147">
        <v>2026</v>
      </c>
      <c r="M17" s="1149">
        <v>2027</v>
      </c>
      <c r="N17" s="1092" t="s">
        <v>897</v>
      </c>
      <c r="O17" s="1147">
        <v>2025</v>
      </c>
      <c r="P17" s="1147">
        <v>2026</v>
      </c>
      <c r="Q17" s="1148">
        <v>2027</v>
      </c>
      <c r="R17" s="923"/>
      <c r="S17" s="1127"/>
      <c r="Y17" s="924"/>
    </row>
    <row r="18" spans="1:31" s="52" customFormat="1" ht="23.25" customHeight="1">
      <c r="J18" s="1138" t="s">
        <v>849</v>
      </c>
      <c r="K18" s="1144">
        <f>'3-1'!H29-K19</f>
        <v>3462606.54</v>
      </c>
      <c r="L18" s="1145">
        <f>'3-1'!I29-L19</f>
        <v>700000</v>
      </c>
      <c r="M18" s="1146">
        <f>'3-1'!J29-M19</f>
        <v>700000</v>
      </c>
      <c r="N18" s="1141">
        <v>2</v>
      </c>
      <c r="O18" s="933"/>
      <c r="P18" s="933"/>
      <c r="Q18" s="986"/>
      <c r="R18" s="923"/>
      <c r="S18" s="1127"/>
      <c r="Y18" s="924"/>
    </row>
    <row r="19" spans="1:31" s="52" customFormat="1" ht="23.25" customHeight="1">
      <c r="J19" s="1139" t="s">
        <v>847</v>
      </c>
      <c r="K19" s="931"/>
      <c r="L19" s="928"/>
      <c r="M19" s="1108"/>
      <c r="N19" s="1142">
        <v>4</v>
      </c>
      <c r="O19" s="713"/>
      <c r="P19" s="713"/>
      <c r="Q19" s="987"/>
      <c r="R19" s="923"/>
      <c r="S19" s="1127"/>
      <c r="Y19" s="924"/>
    </row>
    <row r="20" spans="1:31" s="52" customFormat="1" ht="23.25" customHeight="1">
      <c r="J20" s="1140" t="s">
        <v>848</v>
      </c>
      <c r="K20" s="932"/>
      <c r="L20" s="929"/>
      <c r="M20" s="1109"/>
      <c r="N20" s="1143">
        <v>5</v>
      </c>
      <c r="O20" s="714"/>
      <c r="P20" s="714"/>
      <c r="Q20" s="930"/>
      <c r="R20" s="923"/>
      <c r="S20" s="1127"/>
      <c r="Y20" s="924"/>
    </row>
    <row r="21" spans="1:31" s="52" customFormat="1" ht="23.25" customHeight="1">
      <c r="J21" s="1102"/>
      <c r="K21" s="939"/>
      <c r="L21" s="940"/>
      <c r="M21" s="940"/>
      <c r="N21" s="1103"/>
      <c r="O21" s="1104"/>
      <c r="P21" s="1104"/>
      <c r="Q21" s="1105"/>
      <c r="R21" s="923"/>
      <c r="S21" s="1127"/>
      <c r="U21" s="1230"/>
      <c r="Y21" s="924"/>
    </row>
    <row r="22" spans="1:31" s="52" customFormat="1" ht="23.25" customHeight="1">
      <c r="J22" s="955"/>
      <c r="K22" s="921"/>
      <c r="L22" s="923"/>
      <c r="M22" s="923"/>
      <c r="N22" s="923"/>
      <c r="O22" s="922"/>
      <c r="P22" s="922"/>
      <c r="Q22" s="922"/>
      <c r="R22" s="923"/>
      <c r="S22" s="1127"/>
      <c r="X22" s="959"/>
      <c r="Y22" s="924"/>
    </row>
    <row r="23" spans="1:31" s="51" customFormat="1" ht="20.25" customHeight="1">
      <c r="J23" s="1481" t="s">
        <v>915</v>
      </c>
      <c r="K23" s="1482"/>
      <c r="L23" s="1482"/>
      <c r="M23" s="1482"/>
      <c r="N23" s="1482"/>
      <c r="O23" s="1482"/>
      <c r="P23" s="1482"/>
      <c r="Q23" s="1482"/>
      <c r="R23" s="1483"/>
      <c r="S23" s="1128"/>
      <c r="T23" s="999">
        <v>10</v>
      </c>
      <c r="U23" s="1000"/>
      <c r="V23" s="1432">
        <f>SUM(V24:V29)</f>
        <v>4320750</v>
      </c>
      <c r="W23" s="1432">
        <f>SUM(W24:W29)</f>
        <v>178040234.65000001</v>
      </c>
      <c r="X23" s="1432">
        <f>SUM(X24:X29)</f>
        <v>6035022.0600000005</v>
      </c>
      <c r="Y23" s="924"/>
      <c r="Z23" s="52"/>
      <c r="AA23" s="52"/>
      <c r="AB23" s="963"/>
      <c r="AC23" s="50"/>
      <c r="AD23" s="50"/>
    </row>
    <row r="24" spans="1:31" s="52" customFormat="1" ht="19.5" customHeight="1" thickBot="1">
      <c r="A24" s="982" t="s">
        <v>920</v>
      </c>
      <c r="B24" s="982" t="s">
        <v>921</v>
      </c>
      <c r="C24" s="982" t="s">
        <v>922</v>
      </c>
      <c r="D24" s="982" t="s">
        <v>923</v>
      </c>
      <c r="E24" s="982" t="s">
        <v>924</v>
      </c>
      <c r="F24" s="982" t="s">
        <v>925</v>
      </c>
      <c r="G24" s="982" t="s">
        <v>926</v>
      </c>
      <c r="H24" s="982" t="s">
        <v>927</v>
      </c>
      <c r="I24" s="982" t="s">
        <v>928</v>
      </c>
      <c r="J24" s="948" t="s">
        <v>929</v>
      </c>
      <c r="K24" s="949" t="s">
        <v>897</v>
      </c>
      <c r="L24" s="950" t="s">
        <v>902</v>
      </c>
      <c r="M24" s="950" t="s">
        <v>904</v>
      </c>
      <c r="N24" s="950" t="s">
        <v>905</v>
      </c>
      <c r="O24" s="948" t="s">
        <v>901</v>
      </c>
      <c r="P24" s="1318" t="s">
        <v>1092</v>
      </c>
      <c r="Q24" s="948" t="s">
        <v>1110</v>
      </c>
      <c r="R24" s="951" t="s">
        <v>900</v>
      </c>
      <c r="S24" s="1128"/>
      <c r="T24" s="1001"/>
      <c r="U24" s="1002">
        <v>120</v>
      </c>
      <c r="V24" s="1433">
        <f t="shared" ref="V24:V29" si="0">IF($X$5=2025,
SUMIFS($O$25:$O$47,$K$25:$K$47,$V$1,$L$25:$L$47,U24),
IF($X$5=2026,
SUMIFS($P$25:$P$47,$K$25:$K$47,$V$1,$L$25:$L$47,U24),
IF($X$5=2027,
SUMIFS($Q$25:$Q$47,$K$25:$K$47,$V$1,$L$25:$L$47,U24))))</f>
        <v>0</v>
      </c>
      <c r="W24" s="1433">
        <f t="shared" ref="W24:W29" si="1">IF($X$5=2025,
SUMIFS($O$25:$O$47,$K$25:$K$47,$W$1,$L$25:$L$47,U24),
IF($X$5=2026,
SUMIFS($P$25:$P$47,$K$25:$K$47,$W$1,$L$25:$L$47,U24),
IF($X$5=2027,
SUMIFS($Q$25:$Q$47,$K$25:$K$47,$W$1,$L$25:$L$47,U24))))</f>
        <v>0</v>
      </c>
      <c r="X24" s="1433">
        <f t="shared" ref="X24:X29" si="2">IF($X$5=2025,
SUMIFS($O$25:$O$47,$K$25:$K$47,$X$1,$L$25:$L$47,U24),
IF($X$5=2026,
SUMIFS($P$25:$P$47,$K$25:$K$47,$X$1,$L$25:$L$47,U24),
IF($X$5=2027,
SUMIFS($Q$25:$Q$47,$K$25:$K$47,$X$1,$L$25:$L$47,U24))))</f>
        <v>0</v>
      </c>
      <c r="Y24" s="924"/>
      <c r="AB24" s="963"/>
      <c r="AC24" s="50"/>
      <c r="AD24" s="50"/>
    </row>
    <row r="25" spans="1:31" ht="20.25" customHeight="1" thickBot="1">
      <c r="A25" s="980"/>
      <c r="B25" s="980"/>
      <c r="C25" s="980"/>
      <c r="D25" s="980"/>
      <c r="E25" s="980"/>
      <c r="F25" s="980"/>
      <c r="G25" s="980"/>
      <c r="H25" s="980"/>
      <c r="I25" s="980"/>
      <c r="J25" s="1264" t="str">
        <f>IF(SUM(Доходы[[#This Row],[2 025]:[2 027]])=0,"000",".")</f>
        <v>000</v>
      </c>
      <c r="K25" s="1043">
        <v>2</v>
      </c>
      <c r="L25" s="909">
        <v>120</v>
      </c>
      <c r="M25" s="909">
        <v>121</v>
      </c>
      <c r="N25" s="909"/>
      <c r="O25" s="1307"/>
      <c r="P25" s="1319"/>
      <c r="Q25" s="1314"/>
      <c r="R25" s="1137" t="s">
        <v>231</v>
      </c>
      <c r="S25" s="1128"/>
      <c r="T25" s="1001"/>
      <c r="U25" s="1002">
        <v>130</v>
      </c>
      <c r="V25" s="1433">
        <f t="shared" si="0"/>
        <v>1700000</v>
      </c>
      <c r="W25" s="1433">
        <f t="shared" si="1"/>
        <v>178040234.65000001</v>
      </c>
      <c r="X25" s="1433">
        <f t="shared" si="2"/>
        <v>0</v>
      </c>
      <c r="Y25" s="924"/>
      <c r="Z25" s="52"/>
      <c r="AA25" s="52"/>
      <c r="AB25" s="963"/>
    </row>
    <row r="26" spans="1:31" ht="20.25" customHeight="1" thickBot="1">
      <c r="A26" s="979"/>
      <c r="B26" s="979"/>
      <c r="C26" s="979"/>
      <c r="D26" s="979"/>
      <c r="E26" s="979"/>
      <c r="F26" s="979"/>
      <c r="G26" s="979"/>
      <c r="H26" s="979"/>
      <c r="I26" s="1263"/>
      <c r="J26" s="1270" t="str">
        <f>IF(SUM(Доходы[[#This Row],[2 025]:[2 027]])=0,"000",".")</f>
        <v>.</v>
      </c>
      <c r="K26" s="1271">
        <v>2</v>
      </c>
      <c r="L26" s="1272">
        <v>130</v>
      </c>
      <c r="M26" s="1272">
        <v>131</v>
      </c>
      <c r="N26" s="1274"/>
      <c r="O26" s="1308">
        <v>1000000</v>
      </c>
      <c r="P26" s="1308">
        <v>1000000</v>
      </c>
      <c r="Q26" s="1308">
        <v>1000000</v>
      </c>
      <c r="R26" s="1273" t="s">
        <v>443</v>
      </c>
      <c r="S26" s="1128"/>
      <c r="T26" s="1001"/>
      <c r="U26" s="1002">
        <v>140</v>
      </c>
      <c r="V26" s="1433">
        <f t="shared" si="0"/>
        <v>0</v>
      </c>
      <c r="W26" s="1433">
        <f t="shared" si="1"/>
        <v>0</v>
      </c>
      <c r="X26" s="1433">
        <f t="shared" si="2"/>
        <v>0</v>
      </c>
      <c r="Y26" s="924"/>
      <c r="Z26" s="52"/>
      <c r="AA26" s="52"/>
      <c r="AB26" s="963"/>
      <c r="AC26" s="924"/>
      <c r="AD26" s="52"/>
      <c r="AE26" s="52"/>
    </row>
    <row r="27" spans="1:31" ht="20.25" customHeight="1">
      <c r="A27" s="979"/>
      <c r="B27" s="979"/>
      <c r="C27" s="979"/>
      <c r="D27" s="979"/>
      <c r="E27" s="979"/>
      <c r="F27" s="979"/>
      <c r="G27" s="979"/>
      <c r="H27" s="979"/>
      <c r="I27" s="979"/>
      <c r="J27" s="935" t="str">
        <f>IF(SUM(Доходы[[#This Row],[2 025]:[2 027]])=0,"000",".")</f>
        <v>000</v>
      </c>
      <c r="K27" s="1265">
        <v>2</v>
      </c>
      <c r="L27" s="1266">
        <v>130</v>
      </c>
      <c r="M27" s="1266">
        <v>131</v>
      </c>
      <c r="N27" s="1275"/>
      <c r="O27" s="1309"/>
      <c r="P27" s="1320"/>
      <c r="Q27" s="1315"/>
      <c r="R27" s="1268" t="s">
        <v>1006</v>
      </c>
      <c r="S27" s="1128"/>
      <c r="T27" s="1001"/>
      <c r="U27" s="1002">
        <v>150</v>
      </c>
      <c r="V27" s="1433">
        <f t="shared" si="0"/>
        <v>2620750</v>
      </c>
      <c r="W27" s="1433">
        <f t="shared" si="1"/>
        <v>0</v>
      </c>
      <c r="X27" s="1433">
        <f t="shared" si="2"/>
        <v>6035022.0600000005</v>
      </c>
      <c r="Y27" s="924"/>
      <c r="Z27" s="52"/>
      <c r="AA27" s="52"/>
      <c r="AB27" s="963"/>
    </row>
    <row r="28" spans="1:31" ht="20.25" customHeight="1">
      <c r="A28" s="979"/>
      <c r="B28" s="979"/>
      <c r="C28" s="979"/>
      <c r="D28" s="979"/>
      <c r="E28" s="979"/>
      <c r="F28" s="979"/>
      <c r="G28" s="979"/>
      <c r="H28" s="979"/>
      <c r="I28" s="979"/>
      <c r="J28" s="818" t="str">
        <f>IF(SUM(Доходы[[#This Row],[2 025]:[2 027]])=0,"000",".")</f>
        <v>000</v>
      </c>
      <c r="K28" s="1042">
        <v>2</v>
      </c>
      <c r="L28" s="908">
        <v>130</v>
      </c>
      <c r="M28" s="908">
        <v>131</v>
      </c>
      <c r="N28" s="1276"/>
      <c r="O28" s="1310"/>
      <c r="P28" s="1321"/>
      <c r="Q28" s="1316"/>
      <c r="R28" s="1136" t="s">
        <v>1007</v>
      </c>
      <c r="S28" s="1128"/>
      <c r="T28" s="1001"/>
      <c r="U28" s="1002">
        <v>180</v>
      </c>
      <c r="V28" s="1433">
        <f t="shared" si="0"/>
        <v>0</v>
      </c>
      <c r="W28" s="1433">
        <f t="shared" si="1"/>
        <v>0</v>
      </c>
      <c r="X28" s="1433">
        <f t="shared" si="2"/>
        <v>0</v>
      </c>
      <c r="Y28" s="924"/>
      <c r="Z28" s="52"/>
      <c r="AA28" s="52"/>
      <c r="AB28" s="963"/>
    </row>
    <row r="29" spans="1:31" ht="20.25" customHeight="1">
      <c r="A29" s="979"/>
      <c r="B29" s="979"/>
      <c r="C29" s="979"/>
      <c r="D29" s="979"/>
      <c r="E29" s="979"/>
      <c r="F29" s="979"/>
      <c r="G29" s="979"/>
      <c r="H29" s="979"/>
      <c r="I29" s="979"/>
      <c r="J29" s="818" t="str">
        <f>IF(SUM(Доходы[[#This Row],[2 025]:[2 027]])=0,"000",".")</f>
        <v>000</v>
      </c>
      <c r="K29" s="1042">
        <v>2</v>
      </c>
      <c r="L29" s="908">
        <v>130</v>
      </c>
      <c r="M29" s="908">
        <v>131</v>
      </c>
      <c r="N29" s="1276"/>
      <c r="O29" s="1310"/>
      <c r="P29" s="1321"/>
      <c r="Q29" s="1316"/>
      <c r="R29" s="1136" t="s">
        <v>1008</v>
      </c>
      <c r="S29" s="1128"/>
      <c r="T29" s="1003"/>
      <c r="U29" s="1004">
        <v>440</v>
      </c>
      <c r="V29" s="1434">
        <f t="shared" si="0"/>
        <v>0</v>
      </c>
      <c r="W29" s="1434">
        <f t="shared" si="1"/>
        <v>0</v>
      </c>
      <c r="X29" s="1434">
        <f t="shared" si="2"/>
        <v>0</v>
      </c>
      <c r="Y29" s="924"/>
      <c r="Z29" s="52"/>
      <c r="AA29" s="52"/>
      <c r="AB29" s="963"/>
    </row>
    <row r="30" spans="1:31" ht="20.25" customHeight="1">
      <c r="A30" s="979"/>
      <c r="B30" s="979"/>
      <c r="C30" s="979"/>
      <c r="D30" s="979"/>
      <c r="E30" s="979"/>
      <c r="F30" s="979"/>
      <c r="G30" s="979"/>
      <c r="H30" s="979"/>
      <c r="I30" s="979"/>
      <c r="J30" s="818" t="str">
        <f>IF(SUM(Доходы[[#This Row],[2 025]:[2 027]])=0,"000",".")</f>
        <v>000</v>
      </c>
      <c r="K30" s="1042">
        <v>2</v>
      </c>
      <c r="L30" s="908">
        <v>130</v>
      </c>
      <c r="M30" s="908">
        <v>131</v>
      </c>
      <c r="N30" s="1276"/>
      <c r="O30" s="1310"/>
      <c r="P30" s="1321"/>
      <c r="Q30" s="1316"/>
      <c r="R30" s="1136" t="s">
        <v>1004</v>
      </c>
      <c r="S30" s="1128"/>
      <c r="T30" s="1005">
        <v>200</v>
      </c>
      <c r="U30" s="1000"/>
      <c r="V30" s="1432">
        <f>SUM(V31:V44)</f>
        <v>4492606.54</v>
      </c>
      <c r="W30" s="1432">
        <f>SUM(W31:W44)</f>
        <v>179475754.31</v>
      </c>
      <c r="X30" s="1432">
        <f>SUM(X31:X44)</f>
        <v>6035022.0600000005</v>
      </c>
      <c r="Y30" s="924"/>
      <c r="Z30" s="52"/>
      <c r="AA30" s="52"/>
      <c r="AB30" s="963"/>
    </row>
    <row r="31" spans="1:31" ht="20.25" customHeight="1">
      <c r="A31" s="979"/>
      <c r="B31" s="979"/>
      <c r="C31" s="979"/>
      <c r="D31" s="979"/>
      <c r="E31" s="979"/>
      <c r="F31" s="979"/>
      <c r="G31" s="979"/>
      <c r="H31" s="979"/>
      <c r="I31" s="979"/>
      <c r="J31" s="818" t="str">
        <f>IF(SUM(Доходы[[#This Row],[2 025]:[2 027]])=0,"000",".")</f>
        <v>000</v>
      </c>
      <c r="K31" s="1042">
        <v>2</v>
      </c>
      <c r="L31" s="908">
        <v>130</v>
      </c>
      <c r="M31" s="908">
        <v>131</v>
      </c>
      <c r="N31" s="1276"/>
      <c r="O31" s="1310"/>
      <c r="P31" s="1321"/>
      <c r="Q31" s="1316"/>
      <c r="R31" s="1136" t="s">
        <v>1005</v>
      </c>
      <c r="S31" s="1128"/>
      <c r="T31" s="1001"/>
      <c r="U31" s="1002">
        <v>111</v>
      </c>
      <c r="V31" s="1433">
        <f t="shared" ref="V31:V44" si="3">IF($X$5=2025,
SUMIFS($O$69:$O$292,$K$69:$K$292,$V$1,$L$69:$L$292,U31),
IF($X$5=2026,
SUMIFS($P$69:$P$292,$K$69:$K$292,$V$1,$L$69:$L$292,U31),
IF($X$5=2027,
SUMIFS($Q$69:$Q$292,$K$69:$K$292,$V$1,$L$69:$L$292,U31))))</f>
        <v>780000</v>
      </c>
      <c r="W31" s="1433">
        <f t="shared" ref="W31:W44" si="4">IF($X$5=2025,
SUMIFS($O$69:$O$292,$K$69:$K$292,$W$1,$L$69:$L$292,U31),
IF($X$5=2026,
SUMIFS($P$69:$P$292,$K$69:$K$292,$W$1,$L$69:$L$292,U31),
IF($X$5=2027,
SUMIFS($Q$69:$Q$292,$K$69:$K$292,$W$1,$L$69:$L$292,U31))))</f>
        <v>115592312.61</v>
      </c>
      <c r="X31" s="1433">
        <f t="shared" ref="X31:X44" si="5">IF($X$5=2025,
SUMIFS($O$69:$O$292,$K$69:$K$292,$X$1,$L$69:$L$292,U31),
IF($X$5=2026,
SUMIFS($P$69:$P$292,$K$69:$K$292,$X$1,$L$69:$L$292,U31),
IF($X$5=2027,
SUMIFS($Q$69:$Q$292,$K$69:$K$292,$X$1,$L$69:$L$292,U31))))</f>
        <v>925158.18</v>
      </c>
      <c r="Y31" s="1440"/>
      <c r="Z31" s="1442"/>
      <c r="AA31" s="1441"/>
      <c r="AB31" s="963"/>
    </row>
    <row r="32" spans="1:31" ht="20.25" customHeight="1">
      <c r="A32" s="979"/>
      <c r="B32" s="979"/>
      <c r="C32" s="979"/>
      <c r="D32" s="979"/>
      <c r="E32" s="979"/>
      <c r="F32" s="979"/>
      <c r="G32" s="979"/>
      <c r="H32" s="979"/>
      <c r="I32" s="979"/>
      <c r="J32" s="818" t="str">
        <f>IF(SUM(Доходы[[#This Row],[2 025]:[2 027]])=0,"000",".")</f>
        <v>000</v>
      </c>
      <c r="K32" s="1042">
        <v>2</v>
      </c>
      <c r="L32" s="908">
        <v>130</v>
      </c>
      <c r="M32" s="908">
        <v>131</v>
      </c>
      <c r="N32" s="1276"/>
      <c r="O32" s="1310"/>
      <c r="P32" s="1321"/>
      <c r="Q32" s="1316"/>
      <c r="R32" s="1136" t="s">
        <v>1009</v>
      </c>
      <c r="S32" s="1128"/>
      <c r="T32" s="1001"/>
      <c r="U32" s="1002">
        <v>112</v>
      </c>
      <c r="V32" s="1435">
        <f t="shared" si="3"/>
        <v>0</v>
      </c>
      <c r="W32" s="1435">
        <f t="shared" si="4"/>
        <v>1900</v>
      </c>
      <c r="X32" s="1435">
        <f t="shared" si="5"/>
        <v>1631199.25</v>
      </c>
      <c r="Y32" s="1440"/>
      <c r="Z32" s="1442"/>
      <c r="AA32" s="1441"/>
      <c r="AB32" s="963"/>
    </row>
    <row r="33" spans="1:31" ht="20.25" customHeight="1" thickBot="1">
      <c r="A33" s="979"/>
      <c r="B33" s="979"/>
      <c r="C33" s="979"/>
      <c r="D33" s="979"/>
      <c r="E33" s="979"/>
      <c r="F33" s="979"/>
      <c r="G33" s="979"/>
      <c r="H33" s="979"/>
      <c r="I33" s="979"/>
      <c r="J33" s="942" t="str">
        <f>IF(SUM(Доходы[[#This Row],[2 025]:[2 027]])=0,"000",".")</f>
        <v>000</v>
      </c>
      <c r="K33" s="1043">
        <v>2</v>
      </c>
      <c r="L33" s="909">
        <v>130</v>
      </c>
      <c r="M33" s="909">
        <v>134</v>
      </c>
      <c r="N33" s="1277"/>
      <c r="O33" s="1311"/>
      <c r="P33" s="1322"/>
      <c r="Q33" s="1314"/>
      <c r="R33" s="1137" t="s">
        <v>936</v>
      </c>
      <c r="S33" s="1128"/>
      <c r="T33" s="1001"/>
      <c r="U33" s="1002">
        <v>113</v>
      </c>
      <c r="V33" s="1435">
        <f t="shared" si="3"/>
        <v>0</v>
      </c>
      <c r="W33" s="1435">
        <f t="shared" si="4"/>
        <v>0</v>
      </c>
      <c r="X33" s="1435">
        <f t="shared" si="5"/>
        <v>0</v>
      </c>
      <c r="Y33" s="1440"/>
      <c r="Z33" s="1442"/>
      <c r="AA33" s="1441"/>
      <c r="AB33" s="963"/>
    </row>
    <row r="34" spans="1:31" ht="20.25" customHeight="1" thickBot="1">
      <c r="A34" s="979"/>
      <c r="B34" s="979"/>
      <c r="C34" s="979"/>
      <c r="D34" s="979"/>
      <c r="E34" s="979"/>
      <c r="F34" s="979"/>
      <c r="G34" s="979"/>
      <c r="H34" s="979"/>
      <c r="I34" s="1263"/>
      <c r="J34" s="1270" t="str">
        <f>IF(SUM(Доходы[[#This Row],[2 025]:[2 027]])=0,"000",".")</f>
        <v>.</v>
      </c>
      <c r="K34" s="1271">
        <v>2</v>
      </c>
      <c r="L34" s="1272">
        <v>130</v>
      </c>
      <c r="M34" s="1272">
        <v>135</v>
      </c>
      <c r="N34" s="1274"/>
      <c r="O34" s="1312">
        <v>700000</v>
      </c>
      <c r="P34" s="1312">
        <v>700000</v>
      </c>
      <c r="Q34" s="1312">
        <v>700000</v>
      </c>
      <c r="R34" s="1273" t="s">
        <v>937</v>
      </c>
      <c r="S34" s="1128"/>
      <c r="T34" s="1001"/>
      <c r="U34" s="1002">
        <v>119</v>
      </c>
      <c r="V34" s="1435">
        <f t="shared" si="3"/>
        <v>220000</v>
      </c>
      <c r="W34" s="1435">
        <f t="shared" si="4"/>
        <v>34659082.579999998</v>
      </c>
      <c r="X34" s="1435">
        <f t="shared" si="5"/>
        <v>264294.66000000003</v>
      </c>
      <c r="Y34" s="1440"/>
      <c r="Z34" s="1442"/>
      <c r="AA34" s="1441"/>
      <c r="AB34" s="963"/>
    </row>
    <row r="35" spans="1:31" ht="20.25" customHeight="1">
      <c r="A35" s="979"/>
      <c r="B35" s="979"/>
      <c r="C35" s="979"/>
      <c r="D35" s="979"/>
      <c r="E35" s="979"/>
      <c r="F35" s="979"/>
      <c r="G35" s="979"/>
      <c r="H35" s="979"/>
      <c r="I35" s="979"/>
      <c r="J35" s="935" t="str">
        <f>IF(SUM(Доходы[[#This Row],[2 025]:[2 027]])=0,"000",".")</f>
        <v>000</v>
      </c>
      <c r="K35" s="1265">
        <v>2</v>
      </c>
      <c r="L35" s="1266">
        <v>130</v>
      </c>
      <c r="M35" s="1266">
        <v>139</v>
      </c>
      <c r="N35" s="1275"/>
      <c r="O35" s="1309"/>
      <c r="P35" s="1320"/>
      <c r="Q35" s="1315"/>
      <c r="R35" s="1268" t="s">
        <v>938</v>
      </c>
      <c r="S35" s="1128"/>
      <c r="T35" s="1001"/>
      <c r="U35" s="1002">
        <v>321</v>
      </c>
      <c r="V35" s="1435">
        <f t="shared" si="3"/>
        <v>0</v>
      </c>
      <c r="W35" s="1435">
        <f t="shared" si="4"/>
        <v>0</v>
      </c>
      <c r="X35" s="1435">
        <f t="shared" si="5"/>
        <v>328484.37</v>
      </c>
      <c r="Y35" s="1440"/>
      <c r="Z35" s="1442"/>
      <c r="AA35" s="1441"/>
      <c r="AB35" s="963"/>
    </row>
    <row r="36" spans="1:31" ht="20.25" customHeight="1">
      <c r="A36" s="979"/>
      <c r="B36" s="979"/>
      <c r="C36" s="979"/>
      <c r="D36" s="979"/>
      <c r="E36" s="979"/>
      <c r="F36" s="979"/>
      <c r="G36" s="979"/>
      <c r="H36" s="979"/>
      <c r="I36" s="979"/>
      <c r="J36" s="818" t="str">
        <f>IF(SUM(Доходы[[#This Row],[2 025]:[2 027]])=0,"000",".")</f>
        <v>000</v>
      </c>
      <c r="K36" s="1042">
        <v>2</v>
      </c>
      <c r="L36" s="908">
        <v>140</v>
      </c>
      <c r="M36" s="908">
        <v>141</v>
      </c>
      <c r="N36" s="1276"/>
      <c r="O36" s="1310"/>
      <c r="P36" s="1321"/>
      <c r="Q36" s="1316"/>
      <c r="R36" s="1136" t="s">
        <v>232</v>
      </c>
      <c r="S36" s="1128"/>
      <c r="T36" s="1001"/>
      <c r="U36" s="1002">
        <v>323</v>
      </c>
      <c r="V36" s="1435">
        <f t="shared" si="3"/>
        <v>0</v>
      </c>
      <c r="W36" s="1435">
        <f t="shared" si="4"/>
        <v>0</v>
      </c>
      <c r="X36" s="1435">
        <f t="shared" si="5"/>
        <v>0</v>
      </c>
      <c r="Y36" s="1440"/>
      <c r="Z36" s="1442"/>
      <c r="AA36" s="1441"/>
      <c r="AB36" s="963"/>
    </row>
    <row r="37" spans="1:31" ht="20.25" customHeight="1">
      <c r="A37" s="979"/>
      <c r="B37" s="979"/>
      <c r="C37" s="979"/>
      <c r="D37" s="979"/>
      <c r="E37" s="979"/>
      <c r="F37" s="979"/>
      <c r="G37" s="979"/>
      <c r="H37" s="979"/>
      <c r="I37" s="979"/>
      <c r="J37" s="818" t="str">
        <f>IF(SUM(Доходы[[#This Row],[2 025]:[2 027]])=0,"000",".")</f>
        <v>000</v>
      </c>
      <c r="K37" s="1042">
        <v>2</v>
      </c>
      <c r="L37" s="908">
        <v>140</v>
      </c>
      <c r="M37" s="908">
        <v>145</v>
      </c>
      <c r="N37" s="1276"/>
      <c r="O37" s="1310"/>
      <c r="P37" s="1321"/>
      <c r="Q37" s="1316"/>
      <c r="R37" s="1136" t="s">
        <v>389</v>
      </c>
      <c r="S37" s="1128"/>
      <c r="T37" s="1001"/>
      <c r="U37" s="1002">
        <v>350</v>
      </c>
      <c r="V37" s="1435">
        <f t="shared" si="3"/>
        <v>0</v>
      </c>
      <c r="W37" s="1435">
        <f t="shared" si="4"/>
        <v>0</v>
      </c>
      <c r="X37" s="1435">
        <f t="shared" si="5"/>
        <v>0</v>
      </c>
      <c r="Y37" s="1440"/>
      <c r="Z37" s="1442"/>
      <c r="AA37" s="1441"/>
      <c r="AB37" s="963"/>
    </row>
    <row r="38" spans="1:31" ht="20.25" customHeight="1">
      <c r="A38" s="995"/>
      <c r="B38" s="995"/>
      <c r="C38" s="995"/>
      <c r="D38" s="995"/>
      <c r="E38" s="995"/>
      <c r="F38" s="995"/>
      <c r="G38" s="995"/>
      <c r="H38" s="995"/>
      <c r="I38" s="995"/>
      <c r="J38" s="996" t="str">
        <f>IF(SUM(Доходы[[#This Row],[2 025]:[2 027]])=0,"000",".")</f>
        <v>.</v>
      </c>
      <c r="K38" s="1042">
        <v>2</v>
      </c>
      <c r="L38" s="908">
        <v>150</v>
      </c>
      <c r="M38" s="908">
        <v>152</v>
      </c>
      <c r="N38" s="1276"/>
      <c r="O38" s="1443">
        <v>2500000</v>
      </c>
      <c r="P38" s="1323"/>
      <c r="Q38" s="1317"/>
      <c r="R38" s="1446" t="s">
        <v>1129</v>
      </c>
      <c r="S38" s="1128"/>
      <c r="T38" s="1001"/>
      <c r="U38" s="1002">
        <v>244</v>
      </c>
      <c r="V38" s="1435">
        <f t="shared" si="3"/>
        <v>2852606.54</v>
      </c>
      <c r="W38" s="1435">
        <f t="shared" si="4"/>
        <v>9147350.8599999994</v>
      </c>
      <c r="X38" s="1435">
        <f t="shared" si="5"/>
        <v>2885885.6</v>
      </c>
      <c r="Y38" s="1440"/>
      <c r="Z38" s="1442"/>
      <c r="AA38" s="1441"/>
      <c r="AB38" s="963"/>
    </row>
    <row r="39" spans="1:31" ht="20.25" customHeight="1">
      <c r="A39" s="995"/>
      <c r="B39" s="995"/>
      <c r="C39" s="995"/>
      <c r="D39" s="995"/>
      <c r="E39" s="995"/>
      <c r="F39" s="995"/>
      <c r="G39" s="995"/>
      <c r="H39" s="995"/>
      <c r="I39" s="995"/>
      <c r="J39" s="996" t="str">
        <f>IF(SUM(Доходы[[#This Row],[2 025]:[2 027]])=0,"000",".")</f>
        <v>000</v>
      </c>
      <c r="K39" s="1042">
        <v>2</v>
      </c>
      <c r="L39" s="908">
        <v>150</v>
      </c>
      <c r="M39" s="908">
        <v>155</v>
      </c>
      <c r="N39" s="1276"/>
      <c r="O39" s="1310"/>
      <c r="P39" s="1321"/>
      <c r="Q39" s="1316"/>
      <c r="R39" s="1136" t="s">
        <v>1003</v>
      </c>
      <c r="S39" s="1128"/>
      <c r="T39" s="1001"/>
      <c r="U39" s="1002">
        <v>245</v>
      </c>
      <c r="V39" s="1435">
        <f t="shared" si="3"/>
        <v>0</v>
      </c>
      <c r="W39" s="1435">
        <f t="shared" si="4"/>
        <v>0</v>
      </c>
      <c r="X39" s="1435">
        <f t="shared" si="5"/>
        <v>0</v>
      </c>
      <c r="Y39" s="1440"/>
      <c r="Z39" s="1442"/>
      <c r="AA39" s="1441"/>
      <c r="AB39" s="963"/>
    </row>
    <row r="40" spans="1:31" ht="20.25" customHeight="1">
      <c r="A40" s="995"/>
      <c r="B40" s="995"/>
      <c r="C40" s="995"/>
      <c r="D40" s="995"/>
      <c r="E40" s="995"/>
      <c r="F40" s="995"/>
      <c r="G40" s="995"/>
      <c r="H40" s="995"/>
      <c r="I40" s="995"/>
      <c r="J40" s="996" t="str">
        <f>IF(SUM(Доходы[[#This Row],[2 025]:[2 027]])=0,"000",".")</f>
        <v>000</v>
      </c>
      <c r="K40" s="1043">
        <v>2</v>
      </c>
      <c r="L40" s="909">
        <v>150</v>
      </c>
      <c r="M40" s="908">
        <v>155</v>
      </c>
      <c r="N40" s="1276"/>
      <c r="O40" s="1311"/>
      <c r="P40" s="1322"/>
      <c r="Q40" s="1314"/>
      <c r="R40" s="1136" t="s">
        <v>1019</v>
      </c>
      <c r="S40" s="1128"/>
      <c r="T40" s="1001"/>
      <c r="U40" s="1002">
        <v>247</v>
      </c>
      <c r="V40" s="1435">
        <f t="shared" si="3"/>
        <v>610000</v>
      </c>
      <c r="W40" s="1435">
        <f t="shared" si="4"/>
        <v>16181012.42</v>
      </c>
      <c r="X40" s="1435">
        <f t="shared" si="5"/>
        <v>0</v>
      </c>
      <c r="Y40" s="1440"/>
      <c r="Z40" s="1442"/>
      <c r="AA40" s="1441"/>
      <c r="AB40" s="963"/>
    </row>
    <row r="41" spans="1:31" ht="20.25" customHeight="1">
      <c r="A41" s="995"/>
      <c r="B41" s="995"/>
      <c r="C41" s="995"/>
      <c r="D41" s="995"/>
      <c r="E41" s="995"/>
      <c r="F41" s="995"/>
      <c r="G41" s="995"/>
      <c r="H41" s="995"/>
      <c r="I41" s="995"/>
      <c r="J41" s="996" t="str">
        <f>IF(SUM(Доходы[[#This Row],[2 025]:[2 027]])=0,"000",".")</f>
        <v>000</v>
      </c>
      <c r="K41" s="1044">
        <v>2</v>
      </c>
      <c r="L41" s="908">
        <v>150</v>
      </c>
      <c r="M41" s="908">
        <v>155</v>
      </c>
      <c r="N41" s="1276"/>
      <c r="O41" s="1313"/>
      <c r="P41" s="1323"/>
      <c r="Q41" s="1317"/>
      <c r="R41" s="1136" t="s">
        <v>1020</v>
      </c>
      <c r="S41" s="1128"/>
      <c r="T41" s="1001"/>
      <c r="U41" s="1002">
        <v>831</v>
      </c>
      <c r="V41" s="1435">
        <f t="shared" si="3"/>
        <v>0</v>
      </c>
      <c r="W41" s="1435">
        <f t="shared" si="4"/>
        <v>0</v>
      </c>
      <c r="X41" s="1435">
        <f t="shared" si="5"/>
        <v>0</v>
      </c>
      <c r="Y41" s="1440"/>
      <c r="Z41" s="1442"/>
      <c r="AA41" s="1441"/>
      <c r="AB41" s="963"/>
    </row>
    <row r="42" spans="1:31" ht="20.25" customHeight="1">
      <c r="A42" s="995"/>
      <c r="B42" s="995"/>
      <c r="C42" s="995"/>
      <c r="D42" s="995"/>
      <c r="E42" s="995"/>
      <c r="F42" s="995"/>
      <c r="G42" s="995"/>
      <c r="H42" s="995"/>
      <c r="I42" s="995"/>
      <c r="J42" s="996" t="str">
        <f>IF(SUM(Доходы[[#This Row],[2 025]:[2 027]])=0,"000",".")</f>
        <v>.</v>
      </c>
      <c r="K42" s="1044">
        <v>2</v>
      </c>
      <c r="L42" s="908">
        <v>150</v>
      </c>
      <c r="M42" s="908">
        <v>155</v>
      </c>
      <c r="N42" s="1276"/>
      <c r="O42" s="1313">
        <v>120750</v>
      </c>
      <c r="P42" s="1323"/>
      <c r="Q42" s="1317"/>
      <c r="R42" s="1136" t="s">
        <v>1001</v>
      </c>
      <c r="S42" s="1128"/>
      <c r="T42" s="1001"/>
      <c r="U42" s="1002">
        <v>851</v>
      </c>
      <c r="V42" s="1433">
        <f t="shared" si="3"/>
        <v>0</v>
      </c>
      <c r="W42" s="1433">
        <f t="shared" si="4"/>
        <v>3894095.84</v>
      </c>
      <c r="X42" s="1433">
        <f t="shared" si="5"/>
        <v>0</v>
      </c>
      <c r="Y42" s="1440"/>
      <c r="Z42" s="1442"/>
      <c r="AA42" s="1441"/>
      <c r="AB42" s="963"/>
    </row>
    <row r="43" spans="1:31" ht="20.25" customHeight="1">
      <c r="A43" s="979"/>
      <c r="B43" s="979"/>
      <c r="C43" s="979"/>
      <c r="D43" s="979"/>
      <c r="E43" s="979"/>
      <c r="F43" s="979"/>
      <c r="G43" s="979"/>
      <c r="H43" s="979"/>
      <c r="I43" s="979"/>
      <c r="J43" s="818" t="str">
        <f>IF(SUM(Доходы[[#This Row],[2 025]:[2 027]])=0,"000",".")</f>
        <v>000</v>
      </c>
      <c r="K43" s="1042">
        <v>2</v>
      </c>
      <c r="L43" s="908">
        <v>150</v>
      </c>
      <c r="M43" s="908">
        <v>162</v>
      </c>
      <c r="N43" s="1276"/>
      <c r="O43" s="1310"/>
      <c r="P43" s="1321"/>
      <c r="Q43" s="1316"/>
      <c r="R43" s="1136" t="s">
        <v>906</v>
      </c>
      <c r="S43" s="1128"/>
      <c r="T43" s="1001"/>
      <c r="U43" s="1002">
        <v>852</v>
      </c>
      <c r="V43" s="1433">
        <f t="shared" si="3"/>
        <v>0</v>
      </c>
      <c r="W43" s="1433">
        <f t="shared" si="4"/>
        <v>0</v>
      </c>
      <c r="X43" s="1433">
        <f t="shared" si="5"/>
        <v>0</v>
      </c>
      <c r="Y43" s="1440"/>
      <c r="Z43" s="1442"/>
      <c r="AA43" s="1441"/>
      <c r="AB43" s="963"/>
    </row>
    <row r="44" spans="1:31" s="51" customFormat="1" ht="20.25" customHeight="1" thickBot="1">
      <c r="A44" s="979"/>
      <c r="B44" s="979"/>
      <c r="C44" s="979"/>
      <c r="D44" s="979"/>
      <c r="E44" s="979"/>
      <c r="F44" s="979"/>
      <c r="G44" s="979"/>
      <c r="H44" s="979"/>
      <c r="I44" s="979"/>
      <c r="J44" s="818" t="str">
        <f>IF(SUM(Доходы[[#This Row],[2 025]:[2 027]])=0,"000",".")</f>
        <v>000</v>
      </c>
      <c r="K44" s="1044">
        <v>2</v>
      </c>
      <c r="L44" s="908">
        <v>440</v>
      </c>
      <c r="M44" s="908">
        <v>440</v>
      </c>
      <c r="N44" s="1276"/>
      <c r="O44" s="1310"/>
      <c r="P44" s="1321"/>
      <c r="Q44" s="1316"/>
      <c r="R44" s="1136" t="s">
        <v>1002</v>
      </c>
      <c r="S44" s="1128"/>
      <c r="T44" s="1003"/>
      <c r="U44" s="1004">
        <v>853</v>
      </c>
      <c r="V44" s="1434">
        <f t="shared" si="3"/>
        <v>30000</v>
      </c>
      <c r="W44" s="1434">
        <f t="shared" si="4"/>
        <v>0</v>
      </c>
      <c r="X44" s="1434">
        <f t="shared" si="5"/>
        <v>0</v>
      </c>
      <c r="Y44" s="1440"/>
      <c r="Z44" s="1442"/>
      <c r="AA44" s="1441"/>
      <c r="AB44" s="963"/>
      <c r="AC44" s="50"/>
      <c r="AD44" s="50"/>
      <c r="AE44" s="50"/>
    </row>
    <row r="45" spans="1:31" s="51" customFormat="1" ht="20.25" customHeight="1" thickBot="1">
      <c r="A45" s="979"/>
      <c r="B45" s="979"/>
      <c r="C45" s="979"/>
      <c r="D45" s="979"/>
      <c r="E45" s="979"/>
      <c r="F45" s="979"/>
      <c r="G45" s="979"/>
      <c r="H45" s="979"/>
      <c r="I45" s="979"/>
      <c r="J45" s="818" t="str">
        <f>IF(SUM(Доходы[[#This Row],[2 025]:[2 027]])=0,"000",".")</f>
        <v>000</v>
      </c>
      <c r="K45" s="1044">
        <v>2</v>
      </c>
      <c r="L45" s="908">
        <v>180</v>
      </c>
      <c r="M45" s="908">
        <v>180</v>
      </c>
      <c r="N45" s="1276"/>
      <c r="O45" s="1311"/>
      <c r="P45" s="1322"/>
      <c r="Q45" s="1314"/>
      <c r="R45" s="1136" t="s">
        <v>233</v>
      </c>
      <c r="S45" s="1128"/>
      <c r="T45" s="1486" t="s">
        <v>735</v>
      </c>
      <c r="U45" s="1487"/>
      <c r="V45" s="1430">
        <v>171856.54</v>
      </c>
      <c r="W45" s="1430">
        <v>1431519.91</v>
      </c>
      <c r="X45" s="1436"/>
      <c r="Y45" s="959"/>
      <c r="Z45" s="1151"/>
      <c r="AA45" s="959"/>
      <c r="AB45" s="963"/>
      <c r="AC45" s="50"/>
      <c r="AD45" s="50"/>
    </row>
    <row r="46" spans="1:31" s="51" customFormat="1" ht="20.25" customHeight="1">
      <c r="A46" s="979"/>
      <c r="B46" s="979"/>
      <c r="C46" s="979"/>
      <c r="D46" s="979"/>
      <c r="E46" s="979"/>
      <c r="F46" s="979"/>
      <c r="G46" s="979"/>
      <c r="H46" s="979"/>
      <c r="I46" s="979"/>
      <c r="J46" s="818" t="str">
        <f>IF(SUM(Доходы[[#This Row],[2 025]:[2 027]])=0,"000",".")</f>
        <v>.</v>
      </c>
      <c r="K46" s="1044">
        <v>4</v>
      </c>
      <c r="L46" s="908">
        <v>130</v>
      </c>
      <c r="M46" s="908">
        <v>131</v>
      </c>
      <c r="N46" s="1324"/>
      <c r="O46" s="1328">
        <f>179753521-287086.35-3775450-4294000+2827150-633100+160000+4289200</f>
        <v>178040234.65000001</v>
      </c>
      <c r="P46" s="1329">
        <f>179704807</f>
        <v>179704807</v>
      </c>
      <c r="Q46" s="1330">
        <f>179658507</f>
        <v>179658507</v>
      </c>
      <c r="R46" s="1326" t="s">
        <v>275</v>
      </c>
      <c r="S46" s="1128"/>
      <c r="T46" s="1488" t="s">
        <v>939</v>
      </c>
      <c r="U46" s="1489"/>
      <c r="V46" s="1431"/>
      <c r="W46" s="1431">
        <v>3999.75</v>
      </c>
      <c r="X46" s="1437"/>
      <c r="Y46" s="959"/>
      <c r="Z46" s="959"/>
      <c r="AA46" s="959"/>
      <c r="AB46" s="963"/>
      <c r="AC46" s="50"/>
      <c r="AD46" s="50"/>
    </row>
    <row r="47" spans="1:31" s="51" customFormat="1" ht="20.25" customHeight="1" thickBot="1">
      <c r="A47" s="981"/>
      <c r="B47" s="981"/>
      <c r="C47" s="981"/>
      <c r="D47" s="981"/>
      <c r="E47" s="981"/>
      <c r="F47" s="981"/>
      <c r="G47" s="981"/>
      <c r="H47" s="981"/>
      <c r="I47" s="981"/>
      <c r="J47" s="942" t="str">
        <f>IF(SUM(Доходы[[#This Row],[2 025]:[2 027]])=0,"000",".")</f>
        <v>.</v>
      </c>
      <c r="K47" s="1045">
        <v>5</v>
      </c>
      <c r="L47" s="909">
        <v>150</v>
      </c>
      <c r="M47" s="909">
        <v>152</v>
      </c>
      <c r="N47" s="1325"/>
      <c r="O47" s="1331">
        <f>2497380.06+10000+287086.35-605500-9842.8+605500+2690000+273848.28+324213.58-37663.41</f>
        <v>6035022.0600000005</v>
      </c>
      <c r="P47" s="1331">
        <f t="shared" ref="P47:Q47" si="6">2497380.06</f>
        <v>2497380.06</v>
      </c>
      <c r="Q47" s="1331">
        <f t="shared" si="6"/>
        <v>2497380.06</v>
      </c>
      <c r="R47" s="1327" t="s">
        <v>1010</v>
      </c>
      <c r="S47" s="1128"/>
      <c r="T47" s="1484" t="s">
        <v>940</v>
      </c>
      <c r="U47" s="1485"/>
      <c r="V47" s="1438"/>
      <c r="W47" s="1438"/>
      <c r="X47" s="1439"/>
      <c r="Y47" s="959"/>
      <c r="Z47" s="959"/>
      <c r="AA47" s="959"/>
      <c r="AB47" s="963"/>
      <c r="AC47" s="50"/>
      <c r="AD47" s="50"/>
      <c r="AE47" s="50"/>
    </row>
    <row r="48" spans="1:31" s="51" customFormat="1" ht="20.25" hidden="1" customHeight="1">
      <c r="J48" s="956"/>
      <c r="K48" s="912"/>
      <c r="L48" s="403"/>
      <c r="M48" s="403"/>
      <c r="N48" s="403"/>
      <c r="O48" s="1306"/>
      <c r="P48" s="1306"/>
      <c r="Q48" s="1306"/>
      <c r="R48" s="920"/>
      <c r="S48" s="1128"/>
      <c r="Y48" s="959"/>
      <c r="Z48" s="959"/>
      <c r="AA48" s="959"/>
      <c r="AB48" s="963"/>
      <c r="AC48" s="50"/>
      <c r="AD48" s="50"/>
      <c r="AE48" s="50"/>
    </row>
    <row r="49" spans="1:31" s="51" customFormat="1" ht="20.25" hidden="1" customHeight="1">
      <c r="A49" s="780"/>
      <c r="J49" s="956"/>
      <c r="K49" s="912"/>
      <c r="L49" s="403"/>
      <c r="M49" s="403"/>
      <c r="N49" s="403"/>
      <c r="O49" s="1306"/>
      <c r="P49" s="1306"/>
      <c r="Q49" s="1306"/>
      <c r="R49" s="920"/>
      <c r="S49" s="1128"/>
      <c r="Y49" s="959"/>
      <c r="Z49" s="959"/>
      <c r="AA49" s="959"/>
      <c r="AB49" s="963"/>
      <c r="AC49" s="50"/>
      <c r="AD49" s="50"/>
      <c r="AE49" s="50"/>
    </row>
    <row r="50" spans="1:31" s="51" customFormat="1" ht="20.25" hidden="1" customHeight="1">
      <c r="A50" s="780"/>
      <c r="J50" s="956"/>
      <c r="K50" s="912"/>
      <c r="L50" s="403"/>
      <c r="M50" s="403"/>
      <c r="N50" s="403"/>
      <c r="O50" s="1306"/>
      <c r="P50" s="1306"/>
      <c r="Q50" s="1306"/>
      <c r="R50" s="920"/>
      <c r="S50" s="1128"/>
      <c r="Y50" s="959"/>
      <c r="Z50" s="959"/>
      <c r="AA50" s="959"/>
      <c r="AB50" s="963"/>
      <c r="AC50" s="50"/>
      <c r="AD50" s="50"/>
      <c r="AE50" s="50"/>
    </row>
    <row r="51" spans="1:31" s="51" customFormat="1" ht="20.25" hidden="1" customHeight="1">
      <c r="A51" s="780"/>
      <c r="J51" s="956"/>
      <c r="K51" s="912"/>
      <c r="L51" s="403"/>
      <c r="M51" s="403"/>
      <c r="N51" s="403"/>
      <c r="O51" s="1306"/>
      <c r="P51" s="1306"/>
      <c r="Q51" s="1306"/>
      <c r="R51" s="920"/>
      <c r="S51" s="1128"/>
      <c r="Y51" s="959"/>
      <c r="Z51" s="959"/>
      <c r="AA51" s="959"/>
      <c r="AB51" s="963"/>
      <c r="AC51" s="50"/>
      <c r="AD51" s="50"/>
      <c r="AE51" s="50"/>
    </row>
    <row r="52" spans="1:31" s="51" customFormat="1" ht="20.25" hidden="1" customHeight="1">
      <c r="A52" s="780"/>
      <c r="J52" s="956"/>
      <c r="K52" s="912"/>
      <c r="L52" s="403"/>
      <c r="M52" s="403"/>
      <c r="N52" s="403"/>
      <c r="O52" s="1306"/>
      <c r="P52" s="1306"/>
      <c r="Q52" s="1306"/>
      <c r="R52" s="920"/>
      <c r="S52" s="1128"/>
      <c r="Y52" s="959"/>
      <c r="Z52" s="959"/>
      <c r="AA52" s="959"/>
      <c r="AB52" s="963"/>
      <c r="AC52" s="50"/>
      <c r="AD52" s="50"/>
      <c r="AE52" s="50"/>
    </row>
    <row r="53" spans="1:31" s="51" customFormat="1" ht="20.25" hidden="1" customHeight="1">
      <c r="A53" s="780"/>
      <c r="J53" s="956"/>
      <c r="K53" s="912"/>
      <c r="L53" s="403"/>
      <c r="M53" s="403"/>
      <c r="N53" s="403"/>
      <c r="O53" s="1306"/>
      <c r="P53" s="1306"/>
      <c r="Q53" s="1306"/>
      <c r="R53" s="920"/>
      <c r="S53" s="1128"/>
      <c r="Y53" s="959"/>
      <c r="Z53" s="959"/>
      <c r="AA53" s="959"/>
      <c r="AB53" s="963"/>
      <c r="AC53" s="50"/>
      <c r="AD53" s="50"/>
      <c r="AE53" s="50"/>
    </row>
    <row r="54" spans="1:31" s="51" customFormat="1" ht="20.25" hidden="1" customHeight="1">
      <c r="A54" s="780"/>
      <c r="J54" s="956"/>
      <c r="K54" s="912"/>
      <c r="L54" s="403"/>
      <c r="M54" s="403"/>
      <c r="N54" s="403"/>
      <c r="O54" s="1306"/>
      <c r="P54" s="1306"/>
      <c r="Q54" s="1306"/>
      <c r="R54" s="920"/>
      <c r="S54" s="1128"/>
      <c r="Y54" s="959"/>
      <c r="Z54" s="959"/>
      <c r="AA54" s="959"/>
      <c r="AB54" s="963"/>
      <c r="AC54" s="50"/>
      <c r="AD54" s="50"/>
      <c r="AE54" s="50"/>
    </row>
    <row r="55" spans="1:31" s="51" customFormat="1" ht="20.25" hidden="1" customHeight="1">
      <c r="A55" s="780"/>
      <c r="J55" s="956"/>
      <c r="K55" s="912"/>
      <c r="L55" s="403"/>
      <c r="M55" s="403"/>
      <c r="N55" s="403"/>
      <c r="O55" s="1306"/>
      <c r="P55" s="1306"/>
      <c r="Q55" s="1306"/>
      <c r="R55" s="920"/>
      <c r="S55" s="1128"/>
      <c r="Y55" s="959"/>
      <c r="Z55" s="959"/>
      <c r="AA55" s="959"/>
      <c r="AB55" s="963"/>
      <c r="AC55" s="50"/>
      <c r="AD55" s="50"/>
      <c r="AE55" s="50"/>
    </row>
    <row r="56" spans="1:31" s="51" customFormat="1" ht="20.25" hidden="1" customHeight="1">
      <c r="A56" s="780"/>
      <c r="J56" s="956"/>
      <c r="K56" s="912"/>
      <c r="L56" s="403"/>
      <c r="M56" s="403"/>
      <c r="N56" s="403"/>
      <c r="O56" s="1306"/>
      <c r="P56" s="1306"/>
      <c r="Q56" s="1306"/>
      <c r="R56" s="920"/>
      <c r="S56" s="1128"/>
      <c r="Y56" s="959"/>
      <c r="Z56" s="959"/>
      <c r="AA56" s="959"/>
      <c r="AB56" s="963"/>
      <c r="AC56" s="50"/>
      <c r="AD56" s="50"/>
      <c r="AE56" s="50"/>
    </row>
    <row r="57" spans="1:31" s="51" customFormat="1" ht="20.25" hidden="1" customHeight="1">
      <c r="A57" s="780"/>
      <c r="J57" s="956"/>
      <c r="K57" s="912"/>
      <c r="L57" s="403"/>
      <c r="M57" s="403"/>
      <c r="N57" s="403"/>
      <c r="O57" s="1306"/>
      <c r="P57" s="1306"/>
      <c r="Q57" s="1306"/>
      <c r="R57" s="920"/>
      <c r="S57" s="1128"/>
      <c r="Y57" s="959"/>
      <c r="Z57" s="959"/>
      <c r="AA57" s="959"/>
      <c r="AB57" s="963"/>
      <c r="AC57" s="50"/>
      <c r="AD57" s="50"/>
      <c r="AE57" s="50"/>
    </row>
    <row r="58" spans="1:31" s="51" customFormat="1" ht="20.25" hidden="1" customHeight="1">
      <c r="A58" s="780"/>
      <c r="J58" s="956"/>
      <c r="K58" s="912"/>
      <c r="L58" s="403"/>
      <c r="M58" s="403"/>
      <c r="N58" s="403"/>
      <c r="O58" s="1306"/>
      <c r="P58" s="1306"/>
      <c r="Q58" s="1306"/>
      <c r="R58" s="920"/>
      <c r="S58" s="1128"/>
      <c r="Y58" s="959"/>
      <c r="Z58" s="959"/>
      <c r="AA58" s="959"/>
      <c r="AB58" s="963"/>
      <c r="AC58" s="50"/>
      <c r="AD58" s="50"/>
      <c r="AE58" s="50"/>
    </row>
    <row r="59" spans="1:31" s="51" customFormat="1" ht="20.25" hidden="1" customHeight="1">
      <c r="A59" s="780"/>
      <c r="J59" s="956"/>
      <c r="K59" s="912"/>
      <c r="L59" s="403"/>
      <c r="M59" s="403"/>
      <c r="N59" s="403"/>
      <c r="O59" s="1306"/>
      <c r="P59" s="1306"/>
      <c r="Q59" s="1306"/>
      <c r="R59" s="920"/>
      <c r="S59" s="1128"/>
      <c r="Y59" s="959"/>
      <c r="Z59" s="959"/>
      <c r="AA59" s="959"/>
      <c r="AB59" s="963"/>
      <c r="AC59" s="50"/>
      <c r="AD59" s="50"/>
      <c r="AE59" s="50"/>
    </row>
    <row r="60" spans="1:31" s="51" customFormat="1" ht="20.25" hidden="1" customHeight="1">
      <c r="A60" s="780"/>
      <c r="J60" s="956"/>
      <c r="K60" s="912"/>
      <c r="L60" s="403"/>
      <c r="M60" s="403"/>
      <c r="N60" s="403"/>
      <c r="O60" s="1306"/>
      <c r="P60" s="1306"/>
      <c r="Q60" s="1306"/>
      <c r="R60" s="920"/>
      <c r="S60" s="1128"/>
      <c r="Y60" s="959"/>
      <c r="Z60" s="959"/>
      <c r="AA60" s="959"/>
      <c r="AB60" s="963"/>
      <c r="AC60" s="50"/>
      <c r="AD60" s="50"/>
      <c r="AE60" s="50"/>
    </row>
    <row r="61" spans="1:31" s="51" customFormat="1" ht="20.25" hidden="1" customHeight="1">
      <c r="A61" s="780"/>
      <c r="J61" s="956"/>
      <c r="K61" s="912"/>
      <c r="L61" s="403"/>
      <c r="M61" s="403"/>
      <c r="N61" s="403"/>
      <c r="O61" s="1306"/>
      <c r="P61" s="1306"/>
      <c r="Q61" s="1306"/>
      <c r="R61" s="920"/>
      <c r="S61" s="1128"/>
      <c r="Y61" s="959"/>
      <c r="Z61" s="959"/>
      <c r="AA61" s="959"/>
      <c r="AB61" s="963"/>
      <c r="AC61" s="50"/>
      <c r="AD61" s="50"/>
      <c r="AE61" s="50"/>
    </row>
    <row r="62" spans="1:31" s="51" customFormat="1" ht="20.25" hidden="1" customHeight="1">
      <c r="A62" s="780"/>
      <c r="J62" s="956"/>
      <c r="K62" s="912"/>
      <c r="L62" s="403"/>
      <c r="M62" s="403"/>
      <c r="N62" s="403"/>
      <c r="O62" s="1306"/>
      <c r="P62" s="1306"/>
      <c r="Q62" s="1306"/>
      <c r="R62" s="920"/>
      <c r="S62" s="1128"/>
      <c r="Y62" s="959"/>
      <c r="Z62" s="959"/>
      <c r="AA62" s="959"/>
      <c r="AB62" s="963"/>
      <c r="AC62" s="50"/>
      <c r="AD62" s="50"/>
      <c r="AE62" s="50"/>
    </row>
    <row r="63" spans="1:31" s="51" customFormat="1" ht="20.25" hidden="1" customHeight="1">
      <c r="A63" s="780"/>
      <c r="J63" s="956"/>
      <c r="K63" s="912"/>
      <c r="L63" s="403"/>
      <c r="M63" s="403"/>
      <c r="N63" s="403"/>
      <c r="O63" s="1306"/>
      <c r="P63" s="1306"/>
      <c r="Q63" s="1306"/>
      <c r="R63" s="920"/>
      <c r="S63" s="1128"/>
      <c r="Y63" s="959"/>
      <c r="Z63" s="959"/>
      <c r="AA63" s="959"/>
      <c r="AB63" s="963"/>
      <c r="AC63" s="50"/>
      <c r="AD63" s="50"/>
      <c r="AE63" s="50"/>
    </row>
    <row r="64" spans="1:31" s="51" customFormat="1" ht="20.25" hidden="1" customHeight="1">
      <c r="A64" s="780" t="e">
        <f ca="1">IF(SUM(A67:C67)=0,0,
IF(MATCH(1,A67:C67,0)=1,A65,
IF(MATCH(1,A67:C67,0)=2,B65,
IF(MATCH(1,A67:C67,0)=3,C65))))</f>
        <v>#NAME?</v>
      </c>
      <c r="J64" s="956"/>
      <c r="K64" s="912"/>
      <c r="L64" s="403"/>
      <c r="M64" s="403"/>
      <c r="N64" s="403"/>
      <c r="O64" s="1306"/>
      <c r="P64" s="1306"/>
      <c r="Q64" s="1306"/>
      <c r="R64" s="920"/>
      <c r="S64" s="1128"/>
      <c r="Y64" s="959"/>
      <c r="Z64" s="959"/>
      <c r="AA64" s="959"/>
      <c r="AB64" s="963"/>
      <c r="AC64" s="50"/>
      <c r="AD64" s="50"/>
      <c r="AE64" s="50"/>
    </row>
    <row r="65" spans="1:32" s="51" customFormat="1" ht="20.25" customHeight="1" thickBot="1">
      <c r="A65" s="959" t="s">
        <v>902</v>
      </c>
      <c r="B65" s="959" t="s">
        <v>898</v>
      </c>
      <c r="C65" s="959" t="s">
        <v>899</v>
      </c>
      <c r="D65" s="959" t="s">
        <v>902</v>
      </c>
      <c r="E65" s="959" t="s">
        <v>898</v>
      </c>
      <c r="F65" s="959" t="s">
        <v>899</v>
      </c>
      <c r="G65" s="959" t="s">
        <v>902</v>
      </c>
      <c r="H65" s="959" t="s">
        <v>898</v>
      </c>
      <c r="I65" s="959" t="s">
        <v>899</v>
      </c>
      <c r="O65" s="1332">
        <f>O46+O47</f>
        <v>184075256.71000001</v>
      </c>
      <c r="P65" s="1333">
        <f t="shared" ref="P65:Q65" si="7">P46+P47</f>
        <v>182202187.06</v>
      </c>
      <c r="Q65" s="1334">
        <f t="shared" si="7"/>
        <v>182155887.06</v>
      </c>
      <c r="S65" s="1128"/>
      <c r="Y65" s="959"/>
      <c r="Z65" s="959"/>
      <c r="AA65" s="959"/>
      <c r="AB65" s="963"/>
      <c r="AC65" s="50"/>
      <c r="AD65" s="50"/>
      <c r="AE65" s="50"/>
    </row>
    <row r="66" spans="1:32" s="51" customFormat="1" ht="20.25" customHeight="1">
      <c r="A66" s="959"/>
      <c r="B66" s="959"/>
      <c r="C66" s="959"/>
      <c r="D66" s="959"/>
      <c r="E66" s="959"/>
      <c r="F66" s="959"/>
      <c r="G66" s="959"/>
      <c r="H66" s="959"/>
      <c r="I66" s="959"/>
      <c r="J66" s="1106"/>
      <c r="K66" s="1093"/>
      <c r="L66" s="1093"/>
      <c r="M66" s="1093"/>
      <c r="N66" s="921"/>
      <c r="O66" s="921"/>
      <c r="P66" s="921"/>
      <c r="Q66" s="921"/>
      <c r="R66" s="921"/>
      <c r="S66" s="1128"/>
      <c r="T66" s="997"/>
      <c r="U66" s="53"/>
      <c r="V66" s="53"/>
      <c r="W66" s="62"/>
      <c r="X66" s="62"/>
      <c r="Y66" s="959"/>
      <c r="Z66" s="959"/>
      <c r="AA66" s="959"/>
      <c r="AB66" s="963"/>
      <c r="AC66" s="50"/>
      <c r="AD66" s="50"/>
      <c r="AE66" s="50"/>
    </row>
    <row r="67" spans="1:32" s="51" customFormat="1" ht="30" customHeight="1">
      <c r="A67" s="978" t="e">
        <f ca="1">IF(OR(
_xlfn.AGGREGATE(1,5,A69:A115)=1,
_xlfn.AGGREGATE(1,5,A69:A115)=0),1,0)</f>
        <v>#NAME?</v>
      </c>
      <c r="B67" s="976"/>
      <c r="C67" s="976" t="e">
        <f ca="1">IF(OR(
_xlfn.AGGREGATE(1,5,C69:C115)=1,
_xlfn.AGGREGATE(1,5,C69:C115)=0),1,0)</f>
        <v>#NAME?</v>
      </c>
      <c r="D67" s="976"/>
      <c r="E67" s="976"/>
      <c r="F67" s="976"/>
      <c r="G67" s="975"/>
      <c r="H67" s="975"/>
      <c r="I67" s="975"/>
      <c r="J67" s="1478" t="s">
        <v>914</v>
      </c>
      <c r="K67" s="1479"/>
      <c r="L67" s="1479"/>
      <c r="M67" s="1479"/>
      <c r="N67" s="1479"/>
      <c r="O67" s="1479"/>
      <c r="P67" s="1479"/>
      <c r="Q67" s="1479"/>
      <c r="R67" s="1480"/>
      <c r="S67" s="1128"/>
      <c r="T67" s="998"/>
      <c r="U67" s="53"/>
      <c r="V67" s="53"/>
      <c r="W67" s="62"/>
      <c r="X67" s="62"/>
      <c r="Y67" s="959"/>
      <c r="Z67" s="959"/>
      <c r="AA67" s="959"/>
      <c r="AB67" s="963"/>
      <c r="AC67" s="50"/>
      <c r="AD67" s="50"/>
      <c r="AF67" s="50"/>
    </row>
    <row r="68" spans="1:32" s="51" customFormat="1" ht="31.5" customHeight="1" thickBot="1">
      <c r="A68" s="974" t="s">
        <v>6</v>
      </c>
      <c r="B68" s="974" t="s">
        <v>7</v>
      </c>
      <c r="C68" s="974" t="s">
        <v>8</v>
      </c>
      <c r="D68" s="974" t="s">
        <v>917</v>
      </c>
      <c r="E68" s="974" t="s">
        <v>918</v>
      </c>
      <c r="F68" s="974" t="s">
        <v>919</v>
      </c>
      <c r="G68" s="974" t="s">
        <v>9</v>
      </c>
      <c r="H68" s="974" t="s">
        <v>10</v>
      </c>
      <c r="I68" s="974" t="s">
        <v>417</v>
      </c>
      <c r="J68" s="1282" t="s">
        <v>929</v>
      </c>
      <c r="K68" s="1283" t="s">
        <v>897</v>
      </c>
      <c r="L68" s="1284" t="s">
        <v>902</v>
      </c>
      <c r="M68" s="1284" t="s">
        <v>898</v>
      </c>
      <c r="N68" s="1284" t="s">
        <v>899</v>
      </c>
      <c r="O68" s="1285" t="s">
        <v>901</v>
      </c>
      <c r="P68" s="1285" t="s">
        <v>1092</v>
      </c>
      <c r="Q68" s="1285" t="s">
        <v>1110</v>
      </c>
      <c r="R68" s="946" t="s">
        <v>900</v>
      </c>
      <c r="S68" s="1128"/>
      <c r="U68" s="53"/>
      <c r="V68" s="53"/>
      <c r="W68" s="62"/>
      <c r="X68" s="62"/>
      <c r="Y68" s="959"/>
      <c r="Z68" s="959"/>
      <c r="AA68" s="959"/>
      <c r="AB68" s="963"/>
      <c r="AC68" s="50"/>
      <c r="AD68" s="50"/>
      <c r="AF68" s="50"/>
    </row>
    <row r="69" spans="1:32" ht="20.25" customHeight="1" thickBot="1">
      <c r="A69" s="984">
        <f>IF(Расходы_2[[#This Row],[КВР]]&gt;=
IF(SUBTOTAL(109,L68)&gt;0,SUBTOTAL(109,L68),
IF(SUBTOTAL(109,L67)&gt;0,SUBTOTAL(109,L67),
IF(SUBTOTAL(109,L66)&gt;0,SUBTOTAL(109,L66),
IF(SUBTOTAL(109,L65)&gt;0,SUBTOTAL(109,L65),
IF(SUBTOTAL(109,L64)&gt;0,SUBTOTAL(109,L64),
IF(SUBTOTAL(109,L63)&gt;0,SUBTOTAL(109,L63),
IF(SUBTOTAL(109,L62)&gt;0,SUBTOTAL(109,L62),
IF(SUBTOTAL(109,L61)&gt;0,SUBTOTAL(109,L61),
IF(SUBTOTAL(109,L60)&gt;0,SUBTOTAL(109,L60),
IF(SUBTOTAL(109,L59)&gt;0,SUBTOTAL(109,L59),
IF(SUBTOTAL(109,L58)&gt;0,SUBTOTAL(109,L59),
IF(SUBTOTAL(109,L57)&gt;0,SUBTOTAL(109,L57),
IF(SUBTOTAL(109,L56)&gt;0,SUBTOTAL(109,L56),
IF(SUBTOTAL(109,L55)&gt;0,SUBTOTAL(109,L55),
IF(SUBTOTAL(109,L54)&gt;0,SUBTOTAL(109,L54),
IF(SUBTOTAL(109,L53)&gt;0,SUBTOTAL(109,L53),
IF(SUBTOTAL(109,L52)&gt;0,SUBTOTAL(109,L52),
IF(SUBTOTAL(109,L51)&gt;0,SUBTOTAL(109,L51),
IF(SUBTOTAL(109,L50)&gt;0,SUBTOTAL(109,L50),
))))))))))))))))))),1,0)</f>
        <v>1</v>
      </c>
      <c r="B69" s="984"/>
      <c r="C69" s="984">
        <f>IF(Расходы_2[[#This Row],[КОСГУ]]&gt;=
IF(SUBTOTAL(109,N68)&gt;0,SUBTOTAL(109,N68),
IF(SUBTOTAL(109,N67)&gt;0,SUBTOTAL(109,N67),
IF(SUBTOTAL(109,N66)&gt;0,SUBTOTAL(109,N66),
IF(SUBTOTAL(109,N65)&gt;0,SUBTOTAL(109,N65),
IF(SUBTOTAL(109,N64)&gt;0,SUBTOTAL(109,N64),
IF(SUBTOTAL(109,N63)&gt;0,SUBTOTAL(109,N63),
IF(SUBTOTAL(109,N62)&gt;0,SUBTOTAL(109,N62),
IF(SUBTOTAL(109,N61)&gt;0,SUBTOTAL(109,N61),
IF(SUBTOTAL(109,N60)&gt;0,SUBTOTAL(109,N60),
IF(SUBTOTAL(109,N59)&gt;0,SUBTOTAL(109,N59),
IF(SUBTOTAL(109,N58)&gt;0,SUBTOTAL(109,N59),
IF(SUBTOTAL(109,N57)&gt;0,SUBTOTAL(109,N57),
IF(SUBTOTAL(109,N56)&gt;0,SUBTOTAL(109,N56),
IF(SUBTOTAL(109,N55)&gt;0,SUBTOTAL(109,N55),
IF(SUBTOTAL(109,N54)&gt;0,SUBTOTAL(109,N54),
IF(SUBTOTAL(109,N53)&gt;0,SUBTOTAL(109,N53),
IF(SUBTOTAL(109,N52)&gt;0,SUBTOTAL(109,N52),
IF(SUBTOTAL(109,N51)&gt;0,SUBTOTAL(109,N51),
IF(SUBTOTAL(109,N50)&gt;0,SUBTOTAL(109,N50),
))))))))))))))))))),1,0)</f>
        <v>1</v>
      </c>
      <c r="D69" s="984">
        <f>IF(Расходы_2[[#This Row],[КВР]]&gt;
IF(SUBTOTAL(109,L68)&gt;0,SUBTOTAL(109,L68),
IF(SUBTOTAL(109,L67)&gt;0,SUBTOTAL(109,L67),
IF(SUBTOTAL(109,L66)&gt;0,SUBTOTAL(109,L66),
IF(SUBTOTAL(109,L65)&gt;0,SUBTOTAL(109,L65),
IF(SUBTOTAL(109,L64)&gt;0,SUBTOTAL(109,L64),
IF(SUBTOTAL(109,L63)&gt;0,SUBTOTAL(109,L63),
IF(SUBTOTAL(109,L62)&gt;0,SUBTOTAL(109,L62),
IF(SUBTOTAL(109,L61)&gt;0,SUBTOTAL(109,L61),
IF(SUBTOTAL(109,L60)&gt;0,SUBTOTAL(109,L60),
IF(SUBTOTAL(109,L59)&gt;0,SUBTOTAL(109,L59),
IF(SUBTOTAL(109,L58)&gt;0,SUBTOTAL(109,L59),
IF(SUBTOTAL(109,L57)&gt;0,SUBTOTAL(109,L57),
IF(SUBTOTAL(109,L56)&gt;0,SUBTOTAL(109,L56),
IF(SUBTOTAL(109,L55)&gt;0,SUBTOTAL(109,L55),
IF(SUBTOTAL(109,L54)&gt;0,SUBTOTAL(109,L54),
IF(SUBTOTAL(109,L53)&gt;0,SUBTOTAL(109,L53),
IF(SUBTOTAL(109,L52)&gt;0,SUBTOTAL(109,L52),
IF(SUBTOTAL(109,L51)&gt;0,SUBTOTAL(109,L51),
IF(SUBTOTAL(109,L50)&gt;0,SUBTOTAL(109,L50),
))))))))))))))))))),1,0)</f>
        <v>1</v>
      </c>
      <c r="E69" s="984">
        <f>IF(AND(Расходы_2[[#This Row],[КЦ]]="14561Э",M68="14561Т"),1,
IF(Расходы_2[[#This Row],[КЦ]]&gt;
IF(SUBTOTAL(109,M68)&gt;0,SUBTOTAL(109,M68),
IF(SUBTOTAL(109,M67)&gt;0,SUBTOTAL(109,M67),
IF(SUBTOTAL(109,M66)&gt;0,SUBTOTAL(109,M66),
IF(SUBTOTAL(109,M65)&gt;0,SUBTOTAL(109,M65),
IF(SUBTOTAL(109,M48)&gt;0,SUBTOTAL(109,M48),
IF(SUBTOTAL(109,M47)&gt;0,SUBTOTAL(109,M47))))))),1,0))</f>
        <v>0</v>
      </c>
      <c r="F69" s="984">
        <f>IF(Расходы_2[[#This Row],[КОСГУ]]&gt;
IF(SUBTOTAL(109,N68)&gt;0,SUBTOTAL(109,N68),
IF(SUBTOTAL(109,N67)&gt;0,SUBTOTAL(109,N67),
IF(SUBTOTAL(109,N66)&gt;0,SUBTOTAL(109,N66),
IF(SUBTOTAL(109,N65)&gt;0,SUBTOTAL(109,N65),
IF(SUBTOTAL(109,N64)&gt;0,SUBTOTAL(109,N64),
IF(SUBTOTAL(109,N63)&gt;0,SUBTOTAL(109,N63),
IF(SUBTOTAL(109,N62)&gt;0,SUBTOTAL(109,N62),
IF(SUBTOTAL(109,N61)&gt;0,SUBTOTAL(109,N61),
IF(SUBTOTAL(109,N60)&gt;0,SUBTOTAL(109,N60),
IF(SUBTOTAL(109,N59)&gt;0,SUBTOTAL(109,N59),
IF(SUBTOTAL(109,N58)&gt;0,SUBTOTAL(109,N59),
IF(SUBTOTAL(109,N57)&gt;0,SUBTOTAL(109,N57),
IF(SUBTOTAL(109,N56)&gt;0,SUBTOTAL(109,N56),
IF(SUBTOTAL(109,N55)&gt;0,SUBTOTAL(109,N55),
IF(SUBTOTAL(109,N54)&gt;0,SUBTOTAL(109,N54),
IF(SUBTOTAL(109,N53)&gt;0,SUBTOTAL(109,N53),
IF(SUBTOTAL(109,N52)&gt;0,SUBTOTAL(109,N52),
IF(SUBTOTAL(109,N51)&gt;0,SUBTOTAL(109,N51),
IF(SUBTOTAL(109,N50)&gt;0,SUBTOTAL(109,N50),
))))))))))))))))))),1,0)</f>
        <v>1</v>
      </c>
      <c r="G69" s="984" t="e">
        <f ca="1">_xlfn.AGGREGATE(9,5,$D$69:D69)</f>
        <v>#NAME?</v>
      </c>
      <c r="H69" s="984" t="e">
        <f ca="1">_xlfn.AGGREGATE(9,5,$E$69:E69)</f>
        <v>#NAME?</v>
      </c>
      <c r="I69" s="1280" t="e">
        <f ca="1">_xlfn.AGGREGATE(9,5,$F$69:F69)</f>
        <v>#NAME?</v>
      </c>
      <c r="J69" s="1293" t="str">
        <f>IF(SUM(Расходы_2[[#This Row],[2 025]:[2 027]])=0,"000",".")</f>
        <v>.</v>
      </c>
      <c r="K69" s="1294">
        <v>2</v>
      </c>
      <c r="L69" s="1295">
        <v>111</v>
      </c>
      <c r="M69" s="1296"/>
      <c r="N69" s="1295">
        <v>211</v>
      </c>
      <c r="O69" s="1297">
        <v>780000</v>
      </c>
      <c r="P69" s="1297">
        <v>780000</v>
      </c>
      <c r="Q69" s="1297">
        <v>780000</v>
      </c>
      <c r="R69" s="1281"/>
      <c r="S69" s="1128"/>
      <c r="Y69" s="959"/>
      <c r="Z69" s="959"/>
      <c r="AA69" s="959"/>
      <c r="AB69" s="963"/>
      <c r="AE69" s="51">
        <f>COUNT(2,$AF$69:AF69)-1</f>
        <v>1</v>
      </c>
      <c r="AF69" s="50">
        <v>1</v>
      </c>
    </row>
    <row r="70" spans="1:32" ht="20.25" customHeight="1">
      <c r="A70" s="983">
        <f>IF(Расходы_2[[#This Row],[КВР]]&gt;=
IF(SUBTOTAL(109,L69)&gt;0,SUBTOTAL(109,L69),
IF(SUBTOTAL(109,L68)&gt;0,SUBTOTAL(109,L68),
IF(SUBTOTAL(109,L67)&gt;0,SUBTOTAL(109,L67),
IF(SUBTOTAL(109,L66)&gt;0,SUBTOTAL(109,L66),
IF(SUBTOTAL(109,L65)&gt;0,SUBTOTAL(109,L65),
IF(SUBTOTAL(109,L64)&gt;0,SUBTOTAL(109,L64),
IF(SUBTOTAL(109,L63)&gt;0,SUBTOTAL(109,L63),
IF(SUBTOTAL(109,L62)&gt;0,SUBTOTAL(109,L62),
IF(SUBTOTAL(109,L61)&gt;0,SUBTOTAL(109,L61),
IF(SUBTOTAL(109,L60)&gt;0,SUBTOTAL(109,L60),
IF(SUBTOTAL(109,L59)&gt;0,SUBTOTAL(109,L60),
IF(SUBTOTAL(109,L58)&gt;0,SUBTOTAL(109,L58),
IF(SUBTOTAL(109,L57)&gt;0,SUBTOTAL(109,L57),
IF(SUBTOTAL(109,L56)&gt;0,SUBTOTAL(109,L56),
IF(SUBTOTAL(109,L55)&gt;0,SUBTOTAL(109,L55),
IF(SUBTOTAL(109,L54)&gt;0,SUBTOTAL(109,L54),
IF(SUBTOTAL(109,L53)&gt;0,SUBTOTAL(109,L53),
IF(SUBTOTAL(109,L52)&gt;0,SUBTOTAL(109,L52),
IF(SUBTOTAL(109,L51)&gt;0,SUBTOTAL(109,L51),
))))))))))))))))))),1,0)</f>
        <v>1</v>
      </c>
      <c r="B70" s="983"/>
      <c r="C70" s="983">
        <f>IF(Расходы_2[[#This Row],[КОСГУ]]&gt;=
IF(SUBTOTAL(109,N69)&gt;0,SUBTOTAL(109,N69),
IF(SUBTOTAL(109,N68)&gt;0,SUBTOTAL(109,N68),
IF(SUBTOTAL(109,N67)&gt;0,SUBTOTAL(109,N67),
IF(SUBTOTAL(109,N66)&gt;0,SUBTOTAL(109,N66),
IF(SUBTOTAL(109,N65)&gt;0,SUBTOTAL(109,N65),
IF(SUBTOTAL(109,N64)&gt;0,SUBTOTAL(109,N64),
IF(SUBTOTAL(109,N63)&gt;0,SUBTOTAL(109,N63),
IF(SUBTOTAL(109,N62)&gt;0,SUBTOTAL(109,N62),
IF(SUBTOTAL(109,N61)&gt;0,SUBTOTAL(109,N61),
IF(SUBTOTAL(109,N60)&gt;0,SUBTOTAL(109,N60),
IF(SUBTOTAL(109,N59)&gt;0,SUBTOTAL(109,N60),
IF(SUBTOTAL(109,N58)&gt;0,SUBTOTAL(109,N58),
IF(SUBTOTAL(109,N57)&gt;0,SUBTOTAL(109,N57),
IF(SUBTOTAL(109,N56)&gt;0,SUBTOTAL(109,N56),
IF(SUBTOTAL(109,N55)&gt;0,SUBTOTAL(109,N55),
IF(SUBTOTAL(109,N54)&gt;0,SUBTOTAL(109,N54),
IF(SUBTOTAL(109,N53)&gt;0,SUBTOTAL(109,N53),
IF(SUBTOTAL(109,N52)&gt;0,SUBTOTAL(109,N52),
IF(SUBTOTAL(109,N51)&gt;0,SUBTOTAL(109,N51),
))))))))))))))))))),1,0)</f>
        <v>1</v>
      </c>
      <c r="D70" s="983">
        <f>IF(Расходы_2[[#This Row],[КВР]]&gt;
IF(SUBTOTAL(109,L69)&gt;0,SUBTOTAL(109,L69),
IF(SUBTOTAL(109,L68)&gt;0,SUBTOTAL(109,L68),
IF(SUBTOTAL(109,L67)&gt;0,SUBTOTAL(109,L67),
IF(SUBTOTAL(109,L66)&gt;0,SUBTOTAL(109,L66),
IF(SUBTOTAL(109,L65)&gt;0,SUBTOTAL(109,L65),
IF(SUBTOTAL(109,L64)&gt;0,SUBTOTAL(109,L64),
IF(SUBTOTAL(109,L63)&gt;0,SUBTOTAL(109,L63),
IF(SUBTOTAL(109,L62)&gt;0,SUBTOTAL(109,L62),
IF(SUBTOTAL(109,L61)&gt;0,SUBTOTAL(109,L61),
IF(SUBTOTAL(109,L60)&gt;0,SUBTOTAL(109,L60),
IF(SUBTOTAL(109,L59)&gt;0,SUBTOTAL(109,L60),
IF(SUBTOTAL(109,L58)&gt;0,SUBTOTAL(109,L58),
IF(SUBTOTAL(109,L57)&gt;0,SUBTOTAL(109,L57),
IF(SUBTOTAL(109,L56)&gt;0,SUBTOTAL(109,L56),
IF(SUBTOTAL(109,L55)&gt;0,SUBTOTAL(109,L55),
IF(SUBTOTAL(109,L54)&gt;0,SUBTOTAL(109,L54),
IF(SUBTOTAL(109,L53)&gt;0,SUBTOTAL(109,L53),
IF(SUBTOTAL(109,L52)&gt;0,SUBTOTAL(109,L52),
IF(SUBTOTAL(109,L51)&gt;0,SUBTOTAL(109,L51),
))))))))))))))))))),1,0)</f>
        <v>1</v>
      </c>
      <c r="E70" s="983">
        <f>IF(AND(Расходы_2[[#This Row],[КЦ]]="14561Э",M69="14561Т"),1,
IF(Расходы_2[[#This Row],[КЦ]]&gt;
IF(SUBTOTAL(109,M69)&gt;0,SUBTOTAL(109,M69),
IF(SUBTOTAL(109,M68)&gt;0,SUBTOTAL(109,M68),
IF(SUBTOTAL(109,M67)&gt;0,SUBTOTAL(109,M67),
IF(SUBTOTAL(109,M66)&gt;0,SUBTOTAL(109,M66),
IF(SUBTOTAL(109,M65)&gt;0,SUBTOTAL(109,M65),
IF(SUBTOTAL(109,M48)&gt;0,SUBTOTAL(109,M48))))))),1,0))</f>
        <v>0</v>
      </c>
      <c r="F70" s="983">
        <f>IF(Расходы_2[[#This Row],[КОСГУ]]&gt;
IF(SUBTOTAL(109,N69)&gt;0,SUBTOTAL(109,N69),
IF(SUBTOTAL(109,N68)&gt;0,SUBTOTAL(109,N68),
IF(SUBTOTAL(109,N67)&gt;0,SUBTOTAL(109,N67),
IF(SUBTOTAL(109,N66)&gt;0,SUBTOTAL(109,N66),
IF(SUBTOTAL(109,N65)&gt;0,SUBTOTAL(109,N65),
IF(SUBTOTAL(109,N64)&gt;0,SUBTOTAL(109,N64),
IF(SUBTOTAL(109,N63)&gt;0,SUBTOTAL(109,N63),
IF(SUBTOTAL(109,N62)&gt;0,SUBTOTAL(109,N62),
IF(SUBTOTAL(109,N61)&gt;0,SUBTOTAL(109,N61),
IF(SUBTOTAL(109,N60)&gt;0,SUBTOTAL(109,N60),
IF(SUBTOTAL(109,N59)&gt;0,SUBTOTAL(109,N60),
IF(SUBTOTAL(109,N58)&gt;0,SUBTOTAL(109,N58),
IF(SUBTOTAL(109,N57)&gt;0,SUBTOTAL(109,N57),
IF(SUBTOTAL(109,N56)&gt;0,SUBTOTAL(109,N56),
IF(SUBTOTAL(109,N55)&gt;0,SUBTOTAL(109,N55),
IF(SUBTOTAL(109,N54)&gt;0,SUBTOTAL(109,N54),
IF(SUBTOTAL(109,N53)&gt;0,SUBTOTAL(109,N53),
IF(SUBTOTAL(109,N52)&gt;0,SUBTOTAL(109,N52),
IF(SUBTOTAL(109,N51)&gt;0,SUBTOTAL(109,N51),
))))))))))))))))))),1,0)</f>
        <v>1</v>
      </c>
      <c r="G70" s="983" t="e">
        <f ca="1">_xlfn.AGGREGATE(9,5,$D$69:D70)</f>
        <v>#NAME?</v>
      </c>
      <c r="H70" s="983" t="e">
        <f ca="1">_xlfn.AGGREGATE(9,5,$E$69:E70)</f>
        <v>#NAME?</v>
      </c>
      <c r="I70" s="983" t="e">
        <f ca="1">_xlfn.AGGREGATE(9,5,$F$69:F70)</f>
        <v>#NAME?</v>
      </c>
      <c r="J70" s="1286" t="str">
        <f>IF(SUM(Расходы_2[[#This Row],[2 025]:[2 027]])=0,"000",".")</f>
        <v>000</v>
      </c>
      <c r="K70" s="1287">
        <v>2</v>
      </c>
      <c r="L70" s="1266">
        <v>112</v>
      </c>
      <c r="M70" s="1288"/>
      <c r="N70" s="1266">
        <v>212</v>
      </c>
      <c r="O70" s="1267"/>
      <c r="P70" s="1267"/>
      <c r="Q70" s="1267"/>
      <c r="R70" s="1239" t="s">
        <v>234</v>
      </c>
      <c r="S70" s="1128"/>
      <c r="Y70" s="959"/>
      <c r="Z70" s="959"/>
      <c r="AA70" s="959"/>
      <c r="AB70" s="963"/>
      <c r="AE70" s="51">
        <f>COUNT(2,$AF$69:AF70)-1</f>
        <v>2</v>
      </c>
      <c r="AF70" s="50">
        <v>1</v>
      </c>
    </row>
    <row r="71" spans="1:32" ht="20.25" customHeight="1">
      <c r="A71" s="983">
        <f>IF(Расходы_2[[#This Row],[КВР]]&gt;=
IF(SUBTOTAL(109,L70)&gt;0,SUBTOTAL(109,L70),
IF(SUBTOTAL(109,L69)&gt;0,SUBTOTAL(109,L69),
IF(SUBTOTAL(109,L68)&gt;0,SUBTOTAL(109,L68),
IF(SUBTOTAL(109,L67)&gt;0,SUBTOTAL(109,L67),
IF(SUBTOTAL(109,L66)&gt;0,SUBTOTAL(109,L66),
IF(SUBTOTAL(109,L65)&gt;0,SUBTOTAL(109,L65),
IF(SUBTOTAL(109,L64)&gt;0,SUBTOTAL(109,L64),
IF(SUBTOTAL(109,L63)&gt;0,SUBTOTAL(109,L63),
IF(SUBTOTAL(109,L62)&gt;0,SUBTOTAL(109,L62),
IF(SUBTOTAL(109,L61)&gt;0,SUBTOTAL(109,L61),
IF(SUBTOTAL(109,L60)&gt;0,SUBTOTAL(109,L61),
IF(SUBTOTAL(109,L59)&gt;0,SUBTOTAL(109,L59),
IF(SUBTOTAL(109,L58)&gt;0,SUBTOTAL(109,L58),
IF(SUBTOTAL(109,L57)&gt;0,SUBTOTAL(109,L57),
IF(SUBTOTAL(109,L56)&gt;0,SUBTOTAL(109,L56),
IF(SUBTOTAL(109,L55)&gt;0,SUBTOTAL(109,L55),
IF(SUBTOTAL(109,L54)&gt;0,SUBTOTAL(109,L54),
IF(SUBTOTAL(109,L53)&gt;0,SUBTOTAL(109,L53),
IF(SUBTOTAL(109,L52)&gt;0,SUBTOTAL(109,L52),
))))))))))))))))))),1,0)</f>
        <v>1</v>
      </c>
      <c r="B71" s="983"/>
      <c r="C71" s="983">
        <f>IF(Расходы_2[[#This Row],[КОСГУ]]&gt;=
IF(SUBTOTAL(109,N70)&gt;0,SUBTOTAL(109,N70),
IF(SUBTOTAL(109,N69)&gt;0,SUBTOTAL(109,N69),
IF(SUBTOTAL(109,N68)&gt;0,SUBTOTAL(109,N68),
IF(SUBTOTAL(109,N67)&gt;0,SUBTOTAL(109,N67),
IF(SUBTOTAL(109,N66)&gt;0,SUBTOTAL(109,N66),
IF(SUBTOTAL(109,N65)&gt;0,SUBTOTAL(109,N65),
IF(SUBTOTAL(109,N64)&gt;0,SUBTOTAL(109,N64),
IF(SUBTOTAL(109,N63)&gt;0,SUBTOTAL(109,N63),
IF(SUBTOTAL(109,N62)&gt;0,SUBTOTAL(109,N62),
IF(SUBTOTAL(109,N61)&gt;0,SUBTOTAL(109,N61),
IF(SUBTOTAL(109,N60)&gt;0,SUBTOTAL(109,N61),
IF(SUBTOTAL(109,N59)&gt;0,SUBTOTAL(109,N59),
IF(SUBTOTAL(109,N58)&gt;0,SUBTOTAL(109,N58),
IF(SUBTOTAL(109,N57)&gt;0,SUBTOTAL(109,N57),
IF(SUBTOTAL(109,N56)&gt;0,SUBTOTAL(109,N56),
IF(SUBTOTAL(109,N55)&gt;0,SUBTOTAL(109,N55),
IF(SUBTOTAL(109,N54)&gt;0,SUBTOTAL(109,N54),
IF(SUBTOTAL(109,N53)&gt;0,SUBTOTAL(109,N53),
IF(SUBTOTAL(109,N52)&gt;0,SUBTOTAL(109,N52),
))))))))))))))))))),1,0)</f>
        <v>1</v>
      </c>
      <c r="D71" s="983">
        <f>IF(Расходы_2[[#This Row],[КВР]]&gt;
IF(SUBTOTAL(109,L70)&gt;0,SUBTOTAL(109,L70),
IF(SUBTOTAL(109,L69)&gt;0,SUBTOTAL(109,L69),
IF(SUBTOTAL(109,L68)&gt;0,SUBTOTAL(109,L68),
IF(SUBTOTAL(109,L67)&gt;0,SUBTOTAL(109,L67),
IF(SUBTOTAL(109,L66)&gt;0,SUBTOTAL(109,L66),
IF(SUBTOTAL(109,L65)&gt;0,SUBTOTAL(109,L65),
IF(SUBTOTAL(109,L64)&gt;0,SUBTOTAL(109,L64),
IF(SUBTOTAL(109,L63)&gt;0,SUBTOTAL(109,L63),
IF(SUBTOTAL(109,L62)&gt;0,SUBTOTAL(109,L62),
IF(SUBTOTAL(109,L61)&gt;0,SUBTOTAL(109,L61),
IF(SUBTOTAL(109,L60)&gt;0,SUBTOTAL(109,L61),
IF(SUBTOTAL(109,L59)&gt;0,SUBTOTAL(109,L59),
IF(SUBTOTAL(109,L58)&gt;0,SUBTOTAL(109,L58),
IF(SUBTOTAL(109,L57)&gt;0,SUBTOTAL(109,L57),
IF(SUBTOTAL(109,L56)&gt;0,SUBTOTAL(109,L56),
IF(SUBTOTAL(109,L55)&gt;0,SUBTOTAL(109,L55),
IF(SUBTOTAL(109,L54)&gt;0,SUBTOTAL(109,L54),
IF(SUBTOTAL(109,L53)&gt;0,SUBTOTAL(109,L53),
IF(SUBTOTAL(109,L52)&gt;0,SUBTOTAL(109,L52),
))))))))))))))))))),1,0)</f>
        <v>0</v>
      </c>
      <c r="E71" s="983">
        <f>IF(AND(Расходы_2[[#This Row],[КЦ]]="14561Э",M70="14561Т"),1,
IF(Расходы_2[[#This Row],[КЦ]]&gt;
IF(SUBTOTAL(109,M70)&gt;0,SUBTOTAL(109,M70),
IF(SUBTOTAL(109,M69)&gt;0,SUBTOTAL(109,M69),
IF(SUBTOTAL(109,M68)&gt;0,SUBTOTAL(109,M68),
IF(SUBTOTAL(109,M67)&gt;0,SUBTOTAL(109,M67),
IF(SUBTOTAL(109,M66)&gt;0,SUBTOTAL(109,M66),
IF(SUBTOTAL(109,M65)&gt;0,SUBTOTAL(109,M65))))))),1,0))</f>
        <v>0</v>
      </c>
      <c r="F71" s="983">
        <f>IF(Расходы_2[[#This Row],[КОСГУ]]&gt;
IF(SUBTOTAL(109,N70)&gt;0,SUBTOTAL(109,N70),
IF(SUBTOTAL(109,N69)&gt;0,SUBTOTAL(109,N69),
IF(SUBTOTAL(109,N68)&gt;0,SUBTOTAL(109,N68),
IF(SUBTOTAL(109,N67)&gt;0,SUBTOTAL(109,N67),
IF(SUBTOTAL(109,N66)&gt;0,SUBTOTAL(109,N66),
IF(SUBTOTAL(109,N65)&gt;0,SUBTOTAL(109,N65),
IF(SUBTOTAL(109,N64)&gt;0,SUBTOTAL(109,N64),
IF(SUBTOTAL(109,N63)&gt;0,SUBTOTAL(109,N63),
IF(SUBTOTAL(109,N62)&gt;0,SUBTOTAL(109,N62),
IF(SUBTOTAL(109,N61)&gt;0,SUBTOTAL(109,N61),
IF(SUBTOTAL(109,N60)&gt;0,SUBTOTAL(109,N61),
IF(SUBTOTAL(109,N59)&gt;0,SUBTOTAL(109,N59),
IF(SUBTOTAL(109,N58)&gt;0,SUBTOTAL(109,N58),
IF(SUBTOTAL(109,N57)&gt;0,SUBTOTAL(109,N57),
IF(SUBTOTAL(109,N56)&gt;0,SUBTOTAL(109,N56),
IF(SUBTOTAL(109,N55)&gt;0,SUBTOTAL(109,N55),
IF(SUBTOTAL(109,N54)&gt;0,SUBTOTAL(109,N54),
IF(SUBTOTAL(109,N53)&gt;0,SUBTOTAL(109,N53),
IF(SUBTOTAL(109,N52)&gt;0,SUBTOTAL(109,N52),
))))))))))))))))))),1,0)</f>
        <v>1</v>
      </c>
      <c r="G71" s="983" t="e">
        <f ca="1">_xlfn.AGGREGATE(9,5,$D$69:D71)</f>
        <v>#NAME?</v>
      </c>
      <c r="H71" s="983" t="e">
        <f ca="1">_xlfn.AGGREGATE(9,5,$E$69:E71)</f>
        <v>#NAME?</v>
      </c>
      <c r="I71" s="983" t="e">
        <f ca="1">_xlfn.AGGREGATE(9,5,$F$69:F71)</f>
        <v>#NAME?</v>
      </c>
      <c r="J71" s="964" t="str">
        <f>IF(SUM(Расходы_2[[#This Row],[2 025]:[2 027]])=0,"000",".")</f>
        <v>000</v>
      </c>
      <c r="K71" s="965">
        <v>2</v>
      </c>
      <c r="L71" s="908">
        <v>112</v>
      </c>
      <c r="M71" s="966"/>
      <c r="N71" s="908">
        <v>226</v>
      </c>
      <c r="O71" s="961"/>
      <c r="P71" s="961"/>
      <c r="Q71" s="961"/>
      <c r="R71" s="1239" t="s">
        <v>237</v>
      </c>
      <c r="S71" s="1128"/>
      <c r="Y71" s="959"/>
      <c r="Z71" s="959"/>
      <c r="AA71" s="959"/>
      <c r="AB71" s="963"/>
      <c r="AE71" s="51">
        <f>COUNT(2,$AF$69:AF71)-1</f>
        <v>3</v>
      </c>
      <c r="AF71" s="50">
        <v>1</v>
      </c>
    </row>
    <row r="72" spans="1:32" ht="20.25" customHeight="1">
      <c r="A72" s="983">
        <f>IF(Расходы_2[[#This Row],[КВР]]&gt;=
IF(SUBTOTAL(109,L71)&gt;0,SUBTOTAL(109,L71),
IF(SUBTOTAL(109,L70)&gt;0,SUBTOTAL(109,L70),
IF(SUBTOTAL(109,L69)&gt;0,SUBTOTAL(109,L69),
IF(SUBTOTAL(109,L68)&gt;0,SUBTOTAL(109,L68),
IF(SUBTOTAL(109,L67)&gt;0,SUBTOTAL(109,L67),
IF(SUBTOTAL(109,L66)&gt;0,SUBTOTAL(109,L66),
IF(SUBTOTAL(109,L65)&gt;0,SUBTOTAL(109,L65),
IF(SUBTOTAL(109,L64)&gt;0,SUBTOTAL(109,L64),
IF(SUBTOTAL(109,L63)&gt;0,SUBTOTAL(109,L63),
IF(SUBTOTAL(109,L62)&gt;0,SUBTOTAL(109,L62),
IF(SUBTOTAL(109,L61)&gt;0,SUBTOTAL(109,L62),
IF(SUBTOTAL(109,L60)&gt;0,SUBTOTAL(109,L60),
IF(SUBTOTAL(109,L59)&gt;0,SUBTOTAL(109,L59),
IF(SUBTOTAL(109,L58)&gt;0,SUBTOTAL(109,L58),
IF(SUBTOTAL(109,L57)&gt;0,SUBTOTAL(109,L57),
IF(SUBTOTAL(109,L56)&gt;0,SUBTOTAL(109,L56),
IF(SUBTOTAL(109,L55)&gt;0,SUBTOTAL(109,L55),
IF(SUBTOTAL(109,L54)&gt;0,SUBTOTAL(109,L54),
IF(SUBTOTAL(109,L53)&gt;0,SUBTOTAL(109,L53),
))))))))))))))))))),1,0)</f>
        <v>1</v>
      </c>
      <c r="B72" s="983"/>
      <c r="C72" s="983">
        <f>IF(Расходы_2[[#This Row],[КОСГУ]]&gt;=
IF(SUBTOTAL(109,N71)&gt;0,SUBTOTAL(109,N71),
IF(SUBTOTAL(109,N70)&gt;0,SUBTOTAL(109,N70),
IF(SUBTOTAL(109,N69)&gt;0,SUBTOTAL(109,N69),
IF(SUBTOTAL(109,N68)&gt;0,SUBTOTAL(109,N68),
IF(SUBTOTAL(109,N67)&gt;0,SUBTOTAL(109,N67),
IF(SUBTOTAL(109,N66)&gt;0,SUBTOTAL(109,N66),
IF(SUBTOTAL(109,N65)&gt;0,SUBTOTAL(109,N65),
IF(SUBTOTAL(109,N64)&gt;0,SUBTOTAL(109,N64),
IF(SUBTOTAL(109,N63)&gt;0,SUBTOTAL(109,N63),
IF(SUBTOTAL(109,N62)&gt;0,SUBTOTAL(109,N62),
IF(SUBTOTAL(109,N61)&gt;0,SUBTOTAL(109,N62),
IF(SUBTOTAL(109,N60)&gt;0,SUBTOTAL(109,N60),
IF(SUBTOTAL(109,N59)&gt;0,SUBTOTAL(109,N59),
IF(SUBTOTAL(109,N58)&gt;0,SUBTOTAL(109,N58),
IF(SUBTOTAL(109,N57)&gt;0,SUBTOTAL(109,N57),
IF(SUBTOTAL(109,N56)&gt;0,SUBTOTAL(109,N56),
IF(SUBTOTAL(109,N55)&gt;0,SUBTOTAL(109,N55),
IF(SUBTOTAL(109,N54)&gt;0,SUBTOTAL(109,N54),
IF(SUBTOTAL(109,N53)&gt;0,SUBTOTAL(109,N53),
))))))))))))))))))),1,0)</f>
        <v>1</v>
      </c>
      <c r="D72" s="983">
        <f>IF(Расходы_2[[#This Row],[КВР]]&gt;
IF(SUBTOTAL(109,L71)&gt;0,SUBTOTAL(109,L71),
IF(SUBTOTAL(109,L70)&gt;0,SUBTOTAL(109,L70),
IF(SUBTOTAL(109,L69)&gt;0,SUBTOTAL(109,L69),
IF(SUBTOTAL(109,L68)&gt;0,SUBTOTAL(109,L68),
IF(SUBTOTAL(109,L67)&gt;0,SUBTOTAL(109,L67),
IF(SUBTOTAL(109,L66)&gt;0,SUBTOTAL(109,L66),
IF(SUBTOTAL(109,L65)&gt;0,SUBTOTAL(109,L65),
IF(SUBTOTAL(109,L64)&gt;0,SUBTOTAL(109,L64),
IF(SUBTOTAL(109,L63)&gt;0,SUBTOTAL(109,L63),
IF(SUBTOTAL(109,L62)&gt;0,SUBTOTAL(109,L62),
IF(SUBTOTAL(109,L61)&gt;0,SUBTOTAL(109,L62),
IF(SUBTOTAL(109,L60)&gt;0,SUBTOTAL(109,L60),
IF(SUBTOTAL(109,L59)&gt;0,SUBTOTAL(109,L59),
IF(SUBTOTAL(109,L58)&gt;0,SUBTOTAL(109,L58),
IF(SUBTOTAL(109,L57)&gt;0,SUBTOTAL(109,L57),
IF(SUBTOTAL(109,L56)&gt;0,SUBTOTAL(109,L56),
IF(SUBTOTAL(109,L55)&gt;0,SUBTOTAL(109,L55),
IF(SUBTOTAL(109,L54)&gt;0,SUBTOTAL(109,L54),
IF(SUBTOTAL(109,L53)&gt;0,SUBTOTAL(109,L53),
))))))))))))))))))),1,0)</f>
        <v>0</v>
      </c>
      <c r="E72" s="983">
        <f>IF(AND(Расходы_2[[#This Row],[КЦ]]="14561Э",M71="14561Т"),1,
IF(Расходы_2[[#This Row],[КЦ]]&gt;
IF(SUBTOTAL(109,M71)&gt;0,SUBTOTAL(109,M71),
IF(SUBTOTAL(109,M70)&gt;0,SUBTOTAL(109,M70),
IF(SUBTOTAL(109,M69)&gt;0,SUBTOTAL(109,M69),
IF(SUBTOTAL(109,M68)&gt;0,SUBTOTAL(109,M68),
IF(SUBTOTAL(109,M67)&gt;0,SUBTOTAL(109,M67),
IF(SUBTOTAL(109,M66)&gt;0,SUBTOTAL(109,M66))))))),1,0))</f>
        <v>0</v>
      </c>
      <c r="F72" s="983">
        <f>IF(Расходы_2[[#This Row],[КОСГУ]]&gt;
IF(SUBTOTAL(109,N71)&gt;0,SUBTOTAL(109,N71),
IF(SUBTOTAL(109,N70)&gt;0,SUBTOTAL(109,N70),
IF(SUBTOTAL(109,N69)&gt;0,SUBTOTAL(109,N69),
IF(SUBTOTAL(109,N68)&gt;0,SUBTOTAL(109,N68),
IF(SUBTOTAL(109,N67)&gt;0,SUBTOTAL(109,N67),
IF(SUBTOTAL(109,N66)&gt;0,SUBTOTAL(109,N66),
IF(SUBTOTAL(109,N65)&gt;0,SUBTOTAL(109,N65),
IF(SUBTOTAL(109,N64)&gt;0,SUBTOTAL(109,N64),
IF(SUBTOTAL(109,N63)&gt;0,SUBTOTAL(109,N63),
IF(SUBTOTAL(109,N62)&gt;0,SUBTOTAL(109,N62),
IF(SUBTOTAL(109,N61)&gt;0,SUBTOTAL(109,N62),
IF(SUBTOTAL(109,N60)&gt;0,SUBTOTAL(109,N60),
IF(SUBTOTAL(109,N59)&gt;0,SUBTOTAL(109,N59),
IF(SUBTOTAL(109,N58)&gt;0,SUBTOTAL(109,N58),
IF(SUBTOTAL(109,N57)&gt;0,SUBTOTAL(109,N57),
IF(SUBTOTAL(109,N56)&gt;0,SUBTOTAL(109,N56),
IF(SUBTOTAL(109,N55)&gt;0,SUBTOTAL(109,N55),
IF(SUBTOTAL(109,N54)&gt;0,SUBTOTAL(109,N54),
IF(SUBTOTAL(109,N53)&gt;0,SUBTOTAL(109,N53),
))))))))))))))))))),1,0)</f>
        <v>0</v>
      </c>
      <c r="G72" s="983" t="e">
        <f ca="1">_xlfn.AGGREGATE(9,5,$D$69:D72)</f>
        <v>#NAME?</v>
      </c>
      <c r="H72" s="983" t="e">
        <f ca="1">_xlfn.AGGREGATE(9,5,$E$69:E72)</f>
        <v>#NAME?</v>
      </c>
      <c r="I72" s="983" t="e">
        <f ca="1">_xlfn.AGGREGATE(9,5,$F$69:F72)</f>
        <v>#NAME?</v>
      </c>
      <c r="J72" s="964" t="str">
        <f>IF(SUM(Расходы_2[[#This Row],[2 025]:[2 027]])=0,"000",".")</f>
        <v>000</v>
      </c>
      <c r="K72" s="965">
        <v>2</v>
      </c>
      <c r="L72" s="908">
        <v>112</v>
      </c>
      <c r="M72" s="966"/>
      <c r="N72" s="908">
        <v>226</v>
      </c>
      <c r="O72" s="961"/>
      <c r="P72" s="961"/>
      <c r="Q72" s="961"/>
      <c r="R72" s="1239" t="s">
        <v>235</v>
      </c>
      <c r="S72" s="1128"/>
      <c r="Y72" s="959"/>
      <c r="Z72" s="959"/>
      <c r="AA72" s="959"/>
      <c r="AB72" s="963"/>
      <c r="AE72" s="51">
        <f>COUNT(2,$AF$69:AF72)-1</f>
        <v>4</v>
      </c>
      <c r="AF72" s="50">
        <v>1</v>
      </c>
    </row>
    <row r="73" spans="1:32" ht="20.25" customHeight="1">
      <c r="A73" s="983">
        <f>IF(Расходы_2[[#This Row],[КВР]]&gt;=
IF(SUBTOTAL(109,L72)&gt;0,SUBTOTAL(109,L72),
IF(SUBTOTAL(109,L71)&gt;0,SUBTOTAL(109,L71),
IF(SUBTOTAL(109,L70)&gt;0,SUBTOTAL(109,L70),
IF(SUBTOTAL(109,L69)&gt;0,SUBTOTAL(109,L69),
IF(SUBTOTAL(109,L68)&gt;0,SUBTOTAL(109,L68),
IF(SUBTOTAL(109,L67)&gt;0,SUBTOTAL(109,L67),
IF(SUBTOTAL(109,L66)&gt;0,SUBTOTAL(109,L66),
IF(SUBTOTAL(109,L65)&gt;0,SUBTOTAL(109,L65),
IF(SUBTOTAL(109,L64)&gt;0,SUBTOTAL(109,L64),
IF(SUBTOTAL(109,L63)&gt;0,SUBTOTAL(109,L63),
IF(SUBTOTAL(109,L62)&gt;0,SUBTOTAL(109,L63),
IF(SUBTOTAL(109,L61)&gt;0,SUBTOTAL(109,L61),
IF(SUBTOTAL(109,L60)&gt;0,SUBTOTAL(109,L60),
IF(SUBTOTAL(109,L59)&gt;0,SUBTOTAL(109,L59),
IF(SUBTOTAL(109,L58)&gt;0,SUBTOTAL(109,L58),
IF(SUBTOTAL(109,L57)&gt;0,SUBTOTAL(109,L57),
IF(SUBTOTAL(109,L56)&gt;0,SUBTOTAL(109,L56),
IF(SUBTOTAL(109,L55)&gt;0,SUBTOTAL(109,L55),
IF(SUBTOTAL(109,L54)&gt;0,SUBTOTAL(109,L54),
))))))))))))))))))),1,0)</f>
        <v>1</v>
      </c>
      <c r="B73" s="983"/>
      <c r="C73" s="983">
        <f>IF(Расходы_2[[#This Row],[КОСГУ]]&gt;=
IF(SUBTOTAL(109,N72)&gt;0,SUBTOTAL(109,N72),
IF(SUBTOTAL(109,N71)&gt;0,SUBTOTAL(109,N71),
IF(SUBTOTAL(109,N70)&gt;0,SUBTOTAL(109,N70),
IF(SUBTOTAL(109,N69)&gt;0,SUBTOTAL(109,N69),
IF(SUBTOTAL(109,N68)&gt;0,SUBTOTAL(109,N68),
IF(SUBTOTAL(109,N67)&gt;0,SUBTOTAL(109,N67),
IF(SUBTOTAL(109,N66)&gt;0,SUBTOTAL(109,N66),
IF(SUBTOTAL(109,N65)&gt;0,SUBTOTAL(109,N65),
IF(SUBTOTAL(109,N64)&gt;0,SUBTOTAL(109,N64),
IF(SUBTOTAL(109,N63)&gt;0,SUBTOTAL(109,N63),
IF(SUBTOTAL(109,N62)&gt;0,SUBTOTAL(109,N63),
IF(SUBTOTAL(109,N61)&gt;0,SUBTOTAL(109,N61),
IF(SUBTOTAL(109,N60)&gt;0,SUBTOTAL(109,N60),
IF(SUBTOTAL(109,N59)&gt;0,SUBTOTAL(109,N59),
IF(SUBTOTAL(109,N58)&gt;0,SUBTOTAL(109,N58),
IF(SUBTOTAL(109,N57)&gt;0,SUBTOTAL(109,N57),
IF(SUBTOTAL(109,N56)&gt;0,SUBTOTAL(109,N56),
IF(SUBTOTAL(109,N55)&gt;0,SUBTOTAL(109,N55),
IF(SUBTOTAL(109,N54)&gt;0,SUBTOTAL(109,N54),
))))))))))))))))))),1,0)</f>
        <v>1</v>
      </c>
      <c r="D73" s="983">
        <f>IF(Расходы_2[[#This Row],[КВР]]&gt;
IF(SUBTOTAL(109,L72)&gt;0,SUBTOTAL(109,L72),
IF(SUBTOTAL(109,L71)&gt;0,SUBTOTAL(109,L71),
IF(SUBTOTAL(109,L70)&gt;0,SUBTOTAL(109,L70),
IF(SUBTOTAL(109,L69)&gt;0,SUBTOTAL(109,L69),
IF(SUBTOTAL(109,L68)&gt;0,SUBTOTAL(109,L68),
IF(SUBTOTAL(109,L67)&gt;0,SUBTOTAL(109,L67),
IF(SUBTOTAL(109,L66)&gt;0,SUBTOTAL(109,L66),
IF(SUBTOTAL(109,L65)&gt;0,SUBTOTAL(109,L65),
IF(SUBTOTAL(109,L64)&gt;0,SUBTOTAL(109,L64),
IF(SUBTOTAL(109,L63)&gt;0,SUBTOTAL(109,L63),
IF(SUBTOTAL(109,L62)&gt;0,SUBTOTAL(109,L63),
IF(SUBTOTAL(109,L61)&gt;0,SUBTOTAL(109,L61),
IF(SUBTOTAL(109,L60)&gt;0,SUBTOTAL(109,L60),
IF(SUBTOTAL(109,L59)&gt;0,SUBTOTAL(109,L59),
IF(SUBTOTAL(109,L58)&gt;0,SUBTOTAL(109,L58),
IF(SUBTOTAL(109,L57)&gt;0,SUBTOTAL(109,L57),
IF(SUBTOTAL(109,L56)&gt;0,SUBTOTAL(109,L56),
IF(SUBTOTAL(109,L55)&gt;0,SUBTOTAL(109,L55),
IF(SUBTOTAL(109,L54)&gt;0,SUBTOTAL(109,L54),
))))))))))))))))))),1,0)</f>
        <v>0</v>
      </c>
      <c r="E73" s="983">
        <f>IF(AND(Расходы_2[[#This Row],[КЦ]]="14561Э",M72="14561Т"),1,
IF(Расходы_2[[#This Row],[КЦ]]&gt;
IF(SUBTOTAL(109,M72)&gt;0,SUBTOTAL(109,M72),
IF(SUBTOTAL(109,M71)&gt;0,SUBTOTAL(109,M71),
IF(SUBTOTAL(109,M70)&gt;0,SUBTOTAL(109,M70),
IF(SUBTOTAL(109,M69)&gt;0,SUBTOTAL(109,M69),
IF(SUBTOTAL(109,M68)&gt;0,SUBTOTAL(109,M68),
IF(SUBTOTAL(109,M67)&gt;0,SUBTOTAL(109,M67))))))),1,0))</f>
        <v>0</v>
      </c>
      <c r="F73" s="983">
        <f>IF(Расходы_2[[#This Row],[КОСГУ]]&gt;
IF(SUBTOTAL(109,N72)&gt;0,SUBTOTAL(109,N72),
IF(SUBTOTAL(109,N71)&gt;0,SUBTOTAL(109,N71),
IF(SUBTOTAL(109,N70)&gt;0,SUBTOTAL(109,N70),
IF(SUBTOTAL(109,N69)&gt;0,SUBTOTAL(109,N69),
IF(SUBTOTAL(109,N68)&gt;0,SUBTOTAL(109,N68),
IF(SUBTOTAL(109,N67)&gt;0,SUBTOTAL(109,N67),
IF(SUBTOTAL(109,N66)&gt;0,SUBTOTAL(109,N66),
IF(SUBTOTAL(109,N65)&gt;0,SUBTOTAL(109,N65),
IF(SUBTOTAL(109,N64)&gt;0,SUBTOTAL(109,N64),
IF(SUBTOTAL(109,N63)&gt;0,SUBTOTAL(109,N63),
IF(SUBTOTAL(109,N62)&gt;0,SUBTOTAL(109,N63),
IF(SUBTOTAL(109,N61)&gt;0,SUBTOTAL(109,N61),
IF(SUBTOTAL(109,N60)&gt;0,SUBTOTAL(109,N60),
IF(SUBTOTAL(109,N59)&gt;0,SUBTOTAL(109,N59),
IF(SUBTOTAL(109,N58)&gt;0,SUBTOTAL(109,N58),
IF(SUBTOTAL(109,N57)&gt;0,SUBTOTAL(109,N57),
IF(SUBTOTAL(109,N56)&gt;0,SUBTOTAL(109,N56),
IF(SUBTOTAL(109,N55)&gt;0,SUBTOTAL(109,N55),
IF(SUBTOTAL(109,N54)&gt;0,SUBTOTAL(109,N54),
))))))))))))))))))),1,0)</f>
        <v>0</v>
      </c>
      <c r="G73" s="983" t="e">
        <f ca="1">_xlfn.AGGREGATE(9,5,$D$69:D73)</f>
        <v>#NAME?</v>
      </c>
      <c r="H73" s="983" t="e">
        <f ca="1">_xlfn.AGGREGATE(9,5,$E$69:E73)</f>
        <v>#NAME?</v>
      </c>
      <c r="I73" s="983" t="e">
        <f ca="1">_xlfn.AGGREGATE(9,5,$F$69:F73)</f>
        <v>#NAME?</v>
      </c>
      <c r="J73" s="964" t="str">
        <f>IF(SUM(Расходы_2[[#This Row],[2 025]:[2 027]])=0,"000",".")</f>
        <v>000</v>
      </c>
      <c r="K73" s="965">
        <v>2</v>
      </c>
      <c r="L73" s="908">
        <v>112</v>
      </c>
      <c r="M73" s="966"/>
      <c r="N73" s="908">
        <v>226</v>
      </c>
      <c r="O73" s="961"/>
      <c r="P73" s="961"/>
      <c r="Q73" s="961"/>
      <c r="R73" s="1239" t="s">
        <v>236</v>
      </c>
      <c r="S73" s="1128"/>
      <c r="Y73" s="959"/>
      <c r="Z73" s="959"/>
      <c r="AA73" s="959"/>
      <c r="AB73" s="963"/>
      <c r="AE73" s="51">
        <f>COUNT(2,$AF$69:AF73)-1</f>
        <v>5</v>
      </c>
      <c r="AF73" s="50">
        <v>1</v>
      </c>
    </row>
    <row r="74" spans="1:32" ht="20.25" customHeight="1" thickBot="1">
      <c r="A74" s="983">
        <f>IF(Расходы_2[[#This Row],[КВР]]&gt;=
IF(SUBTOTAL(109,L73)&gt;0,SUBTOTAL(109,L73),
IF(SUBTOTAL(109,L72)&gt;0,SUBTOTAL(109,L72),
IF(SUBTOTAL(109,L71)&gt;0,SUBTOTAL(109,L71),
IF(SUBTOTAL(109,L70)&gt;0,SUBTOTAL(109,L70),
IF(SUBTOTAL(109,L69)&gt;0,SUBTOTAL(109,L69),
IF(SUBTOTAL(109,L68)&gt;0,SUBTOTAL(109,L68),
IF(SUBTOTAL(109,L67)&gt;0,SUBTOTAL(109,L67),
IF(SUBTOTAL(109,L66)&gt;0,SUBTOTAL(109,L66),
IF(SUBTOTAL(109,L65)&gt;0,SUBTOTAL(109,L65),
IF(SUBTOTAL(109,L64)&gt;0,SUBTOTAL(109,L64),
IF(SUBTOTAL(109,L63)&gt;0,SUBTOTAL(109,L64),
IF(SUBTOTAL(109,L62)&gt;0,SUBTOTAL(109,L62),
IF(SUBTOTAL(109,L61)&gt;0,SUBTOTAL(109,L61),
IF(SUBTOTAL(109,L60)&gt;0,SUBTOTAL(109,L60),
IF(SUBTOTAL(109,L59)&gt;0,SUBTOTAL(109,L59),
IF(SUBTOTAL(109,L58)&gt;0,SUBTOTAL(109,L58),
IF(SUBTOTAL(109,L57)&gt;0,SUBTOTAL(109,L57),
IF(SUBTOTAL(109,L56)&gt;0,SUBTOTAL(109,L56),
IF(SUBTOTAL(109,L55)&gt;0,SUBTOTAL(109,L55),
))))))))))))))))))),1,0)</f>
        <v>1</v>
      </c>
      <c r="B74" s="983"/>
      <c r="C74" s="983">
        <f>IF(Расходы_2[[#This Row],[КОСГУ]]&gt;=
IF(SUBTOTAL(109,N73)&gt;0,SUBTOTAL(109,N73),
IF(SUBTOTAL(109,N72)&gt;0,SUBTOTAL(109,N72),
IF(SUBTOTAL(109,N71)&gt;0,SUBTOTAL(109,N71),
IF(SUBTOTAL(109,N70)&gt;0,SUBTOTAL(109,N70),
IF(SUBTOTAL(109,N69)&gt;0,SUBTOTAL(109,N69),
IF(SUBTOTAL(109,N68)&gt;0,SUBTOTAL(109,N68),
IF(SUBTOTAL(109,N67)&gt;0,SUBTOTAL(109,N67),
IF(SUBTOTAL(109,N66)&gt;0,SUBTOTAL(109,N66),
IF(SUBTOTAL(109,N65)&gt;0,SUBTOTAL(109,N65),
IF(SUBTOTAL(109,N64)&gt;0,SUBTOTAL(109,N64),
IF(SUBTOTAL(109,N63)&gt;0,SUBTOTAL(109,N64),
IF(SUBTOTAL(109,N62)&gt;0,SUBTOTAL(109,N62),
IF(SUBTOTAL(109,N61)&gt;0,SUBTOTAL(109,N61),
IF(SUBTOTAL(109,N60)&gt;0,SUBTOTAL(109,N60),
IF(SUBTOTAL(109,N59)&gt;0,SUBTOTAL(109,N59),
IF(SUBTOTAL(109,N58)&gt;0,SUBTOTAL(109,N58),
IF(SUBTOTAL(109,N57)&gt;0,SUBTOTAL(109,N57),
IF(SUBTOTAL(109,N56)&gt;0,SUBTOTAL(109,N56),
IF(SUBTOTAL(109,N55)&gt;0,SUBTOTAL(109,N55),
))))))))))))))))))),1,0)</f>
        <v>1</v>
      </c>
      <c r="D74" s="983">
        <f>IF(Расходы_2[[#This Row],[КВР]]&gt;
IF(SUBTOTAL(109,L73)&gt;0,SUBTOTAL(109,L73),
IF(SUBTOTAL(109,L72)&gt;0,SUBTOTAL(109,L72),
IF(SUBTOTAL(109,L71)&gt;0,SUBTOTAL(109,L71),
IF(SUBTOTAL(109,L70)&gt;0,SUBTOTAL(109,L70),
IF(SUBTOTAL(109,L69)&gt;0,SUBTOTAL(109,L69),
IF(SUBTOTAL(109,L68)&gt;0,SUBTOTAL(109,L68),
IF(SUBTOTAL(109,L67)&gt;0,SUBTOTAL(109,L67),
IF(SUBTOTAL(109,L66)&gt;0,SUBTOTAL(109,L66),
IF(SUBTOTAL(109,L65)&gt;0,SUBTOTAL(109,L65),
IF(SUBTOTAL(109,L64)&gt;0,SUBTOTAL(109,L64),
IF(SUBTOTAL(109,L63)&gt;0,SUBTOTAL(109,L64),
IF(SUBTOTAL(109,L62)&gt;0,SUBTOTAL(109,L62),
IF(SUBTOTAL(109,L61)&gt;0,SUBTOTAL(109,L61),
IF(SUBTOTAL(109,L60)&gt;0,SUBTOTAL(109,L60),
IF(SUBTOTAL(109,L59)&gt;0,SUBTOTAL(109,L59),
IF(SUBTOTAL(109,L58)&gt;0,SUBTOTAL(109,L58),
IF(SUBTOTAL(109,L57)&gt;0,SUBTOTAL(109,L57),
IF(SUBTOTAL(109,L56)&gt;0,SUBTOTAL(109,L56),
IF(SUBTOTAL(109,L55)&gt;0,SUBTOTAL(109,L55),
))))))))))))))))))),1,0)</f>
        <v>1</v>
      </c>
      <c r="E74" s="983">
        <f>IF(AND(Расходы_2[[#This Row],[КЦ]]="14561Э",M73="14561Т"),1,
IF(Расходы_2[[#This Row],[КЦ]]&gt;
IF(SUBTOTAL(109,M73)&gt;0,SUBTOTAL(109,M73),
IF(SUBTOTAL(109,M72)&gt;0,SUBTOTAL(109,M72),
IF(SUBTOTAL(109,M71)&gt;0,SUBTOTAL(109,M71),
IF(SUBTOTAL(109,M70)&gt;0,SUBTOTAL(109,M70),
IF(SUBTOTAL(109,M69)&gt;0,SUBTOTAL(109,M69),
IF(SUBTOTAL(109,M68)&gt;0,SUBTOTAL(109,M68))))))),1,0))</f>
        <v>0</v>
      </c>
      <c r="F74" s="983">
        <f>IF(Расходы_2[[#This Row],[КОСГУ]]&gt;
IF(SUBTOTAL(109,N73)&gt;0,SUBTOTAL(109,N73),
IF(SUBTOTAL(109,N72)&gt;0,SUBTOTAL(109,N72),
IF(SUBTOTAL(109,N71)&gt;0,SUBTOTAL(109,N71),
IF(SUBTOTAL(109,N70)&gt;0,SUBTOTAL(109,N70),
IF(SUBTOTAL(109,N69)&gt;0,SUBTOTAL(109,N69),
IF(SUBTOTAL(109,N68)&gt;0,SUBTOTAL(109,N68),
IF(SUBTOTAL(109,N67)&gt;0,SUBTOTAL(109,N67),
IF(SUBTOTAL(109,N66)&gt;0,SUBTOTAL(109,N66),
IF(SUBTOTAL(109,N65)&gt;0,SUBTOTAL(109,N65),
IF(SUBTOTAL(109,N64)&gt;0,SUBTOTAL(109,N64),
IF(SUBTOTAL(109,N63)&gt;0,SUBTOTAL(109,N64),
IF(SUBTOTAL(109,N62)&gt;0,SUBTOTAL(109,N62),
IF(SUBTOTAL(109,N61)&gt;0,SUBTOTAL(109,N61),
IF(SUBTOTAL(109,N60)&gt;0,SUBTOTAL(109,N60),
IF(SUBTOTAL(109,N59)&gt;0,SUBTOTAL(109,N59),
IF(SUBTOTAL(109,N58)&gt;0,SUBTOTAL(109,N58),
IF(SUBTOTAL(109,N57)&gt;0,SUBTOTAL(109,N57),
IF(SUBTOTAL(109,N56)&gt;0,SUBTOTAL(109,N56),
IF(SUBTOTAL(109,N55)&gt;0,SUBTOTAL(109,N55),
))))))))))))))))))),1,0)</f>
        <v>0</v>
      </c>
      <c r="G74" s="983" t="e">
        <f ca="1">_xlfn.AGGREGATE(9,5,$D$69:D74)</f>
        <v>#NAME?</v>
      </c>
      <c r="H74" s="983" t="e">
        <f ca="1">_xlfn.AGGREGATE(9,5,$E$69:E74)</f>
        <v>#NAME?</v>
      </c>
      <c r="I74" s="983" t="e">
        <f ca="1">_xlfn.AGGREGATE(9,5,$F$69:F74)</f>
        <v>#NAME?</v>
      </c>
      <c r="J74" s="952" t="str">
        <f>IF(SUM(Расходы_2[[#This Row],[2 025]:[2 027]])=0,"000",".")</f>
        <v>000</v>
      </c>
      <c r="K74" s="969">
        <v>2</v>
      </c>
      <c r="L74" s="909">
        <v>113</v>
      </c>
      <c r="M74" s="1299"/>
      <c r="N74" s="909">
        <v>226</v>
      </c>
      <c r="O74" s="977"/>
      <c r="P74" s="977"/>
      <c r="Q74" s="977"/>
      <c r="R74" s="1239" t="s">
        <v>238</v>
      </c>
      <c r="S74" s="1128"/>
      <c r="Y74" s="959"/>
      <c r="Z74" s="959"/>
      <c r="AA74" s="959"/>
      <c r="AB74" s="963"/>
      <c r="AE74" s="51">
        <f>COUNT(2,$AF$69:AF74)-1</f>
        <v>6</v>
      </c>
      <c r="AF74" s="50">
        <v>1</v>
      </c>
    </row>
    <row r="75" spans="1:32" ht="20.25" customHeight="1" thickBot="1">
      <c r="A75" s="983">
        <f>IF(Расходы_2[[#This Row],[КВР]]&gt;=
IF(SUBTOTAL(109,L74)&gt;0,SUBTOTAL(109,L74),
IF(SUBTOTAL(109,L73)&gt;0,SUBTOTAL(109,L73),
IF(SUBTOTAL(109,L72)&gt;0,SUBTOTAL(109,L72),
IF(SUBTOTAL(109,L71)&gt;0,SUBTOTAL(109,L71),
IF(SUBTOTAL(109,L70)&gt;0,SUBTOTAL(109,L70),
IF(SUBTOTAL(109,L69)&gt;0,SUBTOTAL(109,L69),
IF(SUBTOTAL(109,L68)&gt;0,SUBTOTAL(109,L68),
IF(SUBTOTAL(109,L67)&gt;0,SUBTOTAL(109,L67),
IF(SUBTOTAL(109,L66)&gt;0,SUBTOTAL(109,L66),
IF(SUBTOTAL(109,L65)&gt;0,SUBTOTAL(109,L65),
IF(SUBTOTAL(109,L64)&gt;0,SUBTOTAL(109,L65),
IF(SUBTOTAL(109,L63)&gt;0,SUBTOTAL(109,L63),
IF(SUBTOTAL(109,L62)&gt;0,SUBTOTAL(109,L62),
IF(SUBTOTAL(109,L61)&gt;0,SUBTOTAL(109,L61),
IF(SUBTOTAL(109,L60)&gt;0,SUBTOTAL(109,L60),
IF(SUBTOTAL(109,L59)&gt;0,SUBTOTAL(109,L59),
IF(SUBTOTAL(109,L58)&gt;0,SUBTOTAL(109,L58),
IF(SUBTOTAL(109,L57)&gt;0,SUBTOTAL(109,L57),
IF(SUBTOTAL(109,L56)&gt;0,SUBTOTAL(109,L56),
))))))))))))))))))),1,0)</f>
        <v>1</v>
      </c>
      <c r="B75" s="983"/>
      <c r="C75" s="983">
        <f>IF(Расходы_2[[#This Row],[КОСГУ]]&gt;=
IF(SUBTOTAL(109,N74)&gt;0,SUBTOTAL(109,N74),
IF(SUBTOTAL(109,N73)&gt;0,SUBTOTAL(109,N73),
IF(SUBTOTAL(109,N72)&gt;0,SUBTOTAL(109,N72),
IF(SUBTOTAL(109,N71)&gt;0,SUBTOTAL(109,N71),
IF(SUBTOTAL(109,N70)&gt;0,SUBTOTAL(109,N70),
IF(SUBTOTAL(109,N69)&gt;0,SUBTOTAL(109,N69),
IF(SUBTOTAL(109,N68)&gt;0,SUBTOTAL(109,N68),
IF(SUBTOTAL(109,N67)&gt;0,SUBTOTAL(109,N67),
IF(SUBTOTAL(109,N66)&gt;0,SUBTOTAL(109,N66),
IF(SUBTOTAL(109,N65)&gt;0,SUBTOTAL(109,N65),
IF(SUBTOTAL(109,N64)&gt;0,SUBTOTAL(109,N65),
IF(SUBTOTAL(109,N63)&gt;0,SUBTOTAL(109,N63),
IF(SUBTOTAL(109,N62)&gt;0,SUBTOTAL(109,N62),
IF(SUBTOTAL(109,N61)&gt;0,SUBTOTAL(109,N61),
IF(SUBTOTAL(109,N60)&gt;0,SUBTOTAL(109,N60),
IF(SUBTOTAL(109,N59)&gt;0,SUBTOTAL(109,N59),
IF(SUBTOTAL(109,N58)&gt;0,SUBTOTAL(109,N58),
IF(SUBTOTAL(109,N57)&gt;0,SUBTOTAL(109,N57),
IF(SUBTOTAL(109,N56)&gt;0,SUBTOTAL(109,N56),
))))))))))))))))))),1,0)</f>
        <v>0</v>
      </c>
      <c r="D75" s="983">
        <f>IF(Расходы_2[[#This Row],[КВР]]&gt;
IF(SUBTOTAL(109,L74)&gt;0,SUBTOTAL(109,L74),
IF(SUBTOTAL(109,L73)&gt;0,SUBTOTAL(109,L73),
IF(SUBTOTAL(109,L72)&gt;0,SUBTOTAL(109,L72),
IF(SUBTOTAL(109,L71)&gt;0,SUBTOTAL(109,L71),
IF(SUBTOTAL(109,L70)&gt;0,SUBTOTAL(109,L70),
IF(SUBTOTAL(109,L69)&gt;0,SUBTOTAL(109,L69),
IF(SUBTOTAL(109,L68)&gt;0,SUBTOTAL(109,L68),
IF(SUBTOTAL(109,L67)&gt;0,SUBTOTAL(109,L67),
IF(SUBTOTAL(109,L66)&gt;0,SUBTOTAL(109,L66),
IF(SUBTOTAL(109,L65)&gt;0,SUBTOTAL(109,L65),
IF(SUBTOTAL(109,L64)&gt;0,SUBTOTAL(109,L65),
IF(SUBTOTAL(109,L63)&gt;0,SUBTOTAL(109,L63),
IF(SUBTOTAL(109,L62)&gt;0,SUBTOTAL(109,L62),
IF(SUBTOTAL(109,L61)&gt;0,SUBTOTAL(109,L61),
IF(SUBTOTAL(109,L60)&gt;0,SUBTOTAL(109,L60),
IF(SUBTOTAL(109,L59)&gt;0,SUBTOTAL(109,L59),
IF(SUBTOTAL(109,L58)&gt;0,SUBTOTAL(109,L58),
IF(SUBTOTAL(109,L57)&gt;0,SUBTOTAL(109,L57),
IF(SUBTOTAL(109,L56)&gt;0,SUBTOTAL(109,L56),
))))))))))))))))))),1,0)</f>
        <v>1</v>
      </c>
      <c r="E75" s="983">
        <f>IF(AND(Расходы_2[[#This Row],[КЦ]]="14561Э",M74="14561Т"),1,
IF(Расходы_2[[#This Row],[КЦ]]&gt;
IF(SUBTOTAL(109,M74)&gt;0,SUBTOTAL(109,M74),
IF(SUBTOTAL(109,M73)&gt;0,SUBTOTAL(109,M73),
IF(SUBTOTAL(109,M72)&gt;0,SUBTOTAL(109,M72),
IF(SUBTOTAL(109,M71)&gt;0,SUBTOTAL(109,M71),
IF(SUBTOTAL(109,M70)&gt;0,SUBTOTAL(109,M70),
IF(SUBTOTAL(109,M69)&gt;0,SUBTOTAL(109,M69))))))),1,0))</f>
        <v>0</v>
      </c>
      <c r="F75" s="983">
        <f>IF(Расходы_2[[#This Row],[КОСГУ]]&gt;
IF(SUBTOTAL(109,N74)&gt;0,SUBTOTAL(109,N74),
IF(SUBTOTAL(109,N73)&gt;0,SUBTOTAL(109,N73),
IF(SUBTOTAL(109,N72)&gt;0,SUBTOTAL(109,N72),
IF(SUBTOTAL(109,N71)&gt;0,SUBTOTAL(109,N71),
IF(SUBTOTAL(109,N70)&gt;0,SUBTOTAL(109,N70),
IF(SUBTOTAL(109,N69)&gt;0,SUBTOTAL(109,N69),
IF(SUBTOTAL(109,N68)&gt;0,SUBTOTAL(109,N68),
IF(SUBTOTAL(109,N67)&gt;0,SUBTOTAL(109,N67),
IF(SUBTOTAL(109,N66)&gt;0,SUBTOTAL(109,N66),
IF(SUBTOTAL(109,N65)&gt;0,SUBTOTAL(109,N65),
IF(SUBTOTAL(109,N64)&gt;0,SUBTOTAL(109,N65),
IF(SUBTOTAL(109,N63)&gt;0,SUBTOTAL(109,N63),
IF(SUBTOTAL(109,N62)&gt;0,SUBTOTAL(109,N62),
IF(SUBTOTAL(109,N61)&gt;0,SUBTOTAL(109,N61),
IF(SUBTOTAL(109,N60)&gt;0,SUBTOTAL(109,N60),
IF(SUBTOTAL(109,N59)&gt;0,SUBTOTAL(109,N59),
IF(SUBTOTAL(109,N58)&gt;0,SUBTOTAL(109,N58),
IF(SUBTOTAL(109,N57)&gt;0,SUBTOTAL(109,N57),
IF(SUBTOTAL(109,N56)&gt;0,SUBTOTAL(109,N56),
))))))))))))))))))),1,0)</f>
        <v>0</v>
      </c>
      <c r="G75" s="983" t="e">
        <f ca="1">_xlfn.AGGREGATE(9,5,$D$69:D75)</f>
        <v>#NAME?</v>
      </c>
      <c r="H75" s="983" t="e">
        <f ca="1">_xlfn.AGGREGATE(9,5,$E$69:E75)</f>
        <v>#NAME?</v>
      </c>
      <c r="I75" s="1298" t="e">
        <f ca="1">_xlfn.AGGREGATE(9,5,$F$69:F75)</f>
        <v>#NAME?</v>
      </c>
      <c r="J75" s="1301" t="str">
        <f>IF(SUM(Расходы_2[[#This Row],[2 025]:[2 027]])=0,"000",".")</f>
        <v>.</v>
      </c>
      <c r="K75" s="1289">
        <v>2</v>
      </c>
      <c r="L75" s="1272">
        <v>119</v>
      </c>
      <c r="M75" s="1290"/>
      <c r="N75" s="1272">
        <v>213</v>
      </c>
      <c r="O75" s="1302">
        <v>220000</v>
      </c>
      <c r="P75" s="1302">
        <v>220000</v>
      </c>
      <c r="Q75" s="1302">
        <v>220000</v>
      </c>
      <c r="R75" s="1281"/>
      <c r="S75" s="1128"/>
      <c r="U75" s="913"/>
      <c r="W75" s="913"/>
      <c r="X75" s="913"/>
      <c r="Y75" s="959"/>
      <c r="Z75" s="959"/>
      <c r="AA75" s="959"/>
      <c r="AB75" s="963"/>
      <c r="AE75" s="51">
        <f>COUNT(2,$AF$69:AF75)-1</f>
        <v>7</v>
      </c>
      <c r="AF75" s="50">
        <v>1</v>
      </c>
    </row>
    <row r="76" spans="1:32" ht="20.25" customHeight="1">
      <c r="A76" s="983">
        <f>IF(Расходы_2[[#This Row],[КВР]]&gt;=
IF(SUBTOTAL(109,L75)&gt;0,SUBTOTAL(109,L75),
IF(SUBTOTAL(109,L74)&gt;0,SUBTOTAL(109,L74),
IF(SUBTOTAL(109,L73)&gt;0,SUBTOTAL(109,L73),
IF(SUBTOTAL(109,L72)&gt;0,SUBTOTAL(109,L72),
IF(SUBTOTAL(109,L71)&gt;0,SUBTOTAL(109,L71),
IF(SUBTOTAL(109,L70)&gt;0,SUBTOTAL(109,L70),
IF(SUBTOTAL(109,L69)&gt;0,SUBTOTAL(109,L69),
IF(SUBTOTAL(109,L68)&gt;0,SUBTOTAL(109,L68),
IF(SUBTOTAL(109,L67)&gt;0,SUBTOTAL(109,L67),
IF(SUBTOTAL(109,L66)&gt;0,SUBTOTAL(109,L66),
IF(SUBTOTAL(109,L65)&gt;0,SUBTOTAL(109,L66),
IF(SUBTOTAL(109,L64)&gt;0,SUBTOTAL(109,L64),
IF(SUBTOTAL(109,L63)&gt;0,SUBTOTAL(109,L63),
IF(SUBTOTAL(109,L62)&gt;0,SUBTOTAL(109,L62),
IF(SUBTOTAL(109,L61)&gt;0,SUBTOTAL(109,L61),
IF(SUBTOTAL(109,L60)&gt;0,SUBTOTAL(109,L60),
IF(SUBTOTAL(109,L59)&gt;0,SUBTOTAL(109,L59),
IF(SUBTOTAL(109,L58)&gt;0,SUBTOTAL(109,L58),
IF(SUBTOTAL(109,L57)&gt;0,SUBTOTAL(109,L57),
))))))))))))))))))),1,0)</f>
        <v>1</v>
      </c>
      <c r="B76" s="983"/>
      <c r="C76" s="983">
        <f>IF(Расходы_2[[#This Row],[КОСГУ]]&gt;=
IF(SUBTOTAL(109,N75)&gt;0,SUBTOTAL(109,N75),
IF(SUBTOTAL(109,N74)&gt;0,SUBTOTAL(109,N74),
IF(SUBTOTAL(109,N73)&gt;0,SUBTOTAL(109,N73),
IF(SUBTOTAL(109,N72)&gt;0,SUBTOTAL(109,N72),
IF(SUBTOTAL(109,N71)&gt;0,SUBTOTAL(109,N71),
IF(SUBTOTAL(109,N70)&gt;0,SUBTOTAL(109,N70),
IF(SUBTOTAL(109,N69)&gt;0,SUBTOTAL(109,N69),
IF(SUBTOTAL(109,N68)&gt;0,SUBTOTAL(109,N68),
IF(SUBTOTAL(109,N67)&gt;0,SUBTOTAL(109,N67),
IF(SUBTOTAL(109,N66)&gt;0,SUBTOTAL(109,N66),
IF(SUBTOTAL(109,N65)&gt;0,SUBTOTAL(109,N66),
IF(SUBTOTAL(109,N64)&gt;0,SUBTOTAL(109,N64),
IF(SUBTOTAL(109,N63)&gt;0,SUBTOTAL(109,N63),
IF(SUBTOTAL(109,N62)&gt;0,SUBTOTAL(109,N62),
IF(SUBTOTAL(109,N61)&gt;0,SUBTOTAL(109,N61),
IF(SUBTOTAL(109,N60)&gt;0,SUBTOTAL(109,N60),
IF(SUBTOTAL(109,N59)&gt;0,SUBTOTAL(109,N59),
IF(SUBTOTAL(109,N58)&gt;0,SUBTOTAL(109,N58),
IF(SUBTOTAL(109,N57)&gt;0,SUBTOTAL(109,N57),
))))))))))))))))))),1,0)</f>
        <v>1</v>
      </c>
      <c r="D76" s="983">
        <f>IF(Расходы_2[[#This Row],[КВР]]&gt;
IF(SUBTOTAL(109,L75)&gt;0,SUBTOTAL(109,L75),
IF(SUBTOTAL(109,L74)&gt;0,SUBTOTAL(109,L74),
IF(SUBTOTAL(109,L73)&gt;0,SUBTOTAL(109,L73),
IF(SUBTOTAL(109,L72)&gt;0,SUBTOTAL(109,L72),
IF(SUBTOTAL(109,L71)&gt;0,SUBTOTAL(109,L71),
IF(SUBTOTAL(109,L70)&gt;0,SUBTOTAL(109,L70),
IF(SUBTOTAL(109,L69)&gt;0,SUBTOTAL(109,L69),
IF(SUBTOTAL(109,L68)&gt;0,SUBTOTAL(109,L68),
IF(SUBTOTAL(109,L67)&gt;0,SUBTOTAL(109,L67),
IF(SUBTOTAL(109,L66)&gt;0,SUBTOTAL(109,L66),
IF(SUBTOTAL(109,L65)&gt;0,SUBTOTAL(109,L66),
IF(SUBTOTAL(109,L64)&gt;0,SUBTOTAL(109,L64),
IF(SUBTOTAL(109,L63)&gt;0,SUBTOTAL(109,L63),
IF(SUBTOTAL(109,L62)&gt;0,SUBTOTAL(109,L62),
IF(SUBTOTAL(109,L61)&gt;0,SUBTOTAL(109,L61),
IF(SUBTOTAL(109,L60)&gt;0,SUBTOTAL(109,L60),
IF(SUBTOTAL(109,L59)&gt;0,SUBTOTAL(109,L59),
IF(SUBTOTAL(109,L58)&gt;0,SUBTOTAL(109,L58),
IF(SUBTOTAL(109,L57)&gt;0,SUBTOTAL(109,L57),
))))))))))))))))))),1,0)</f>
        <v>0</v>
      </c>
      <c r="E76" s="983">
        <f>IF(AND(Расходы_2[[#This Row],[КЦ]]="14561Э",M75="14561Т"),1,
IF(Расходы_2[[#This Row],[КЦ]]&gt;
IF(SUBTOTAL(109,M75)&gt;0,SUBTOTAL(109,M75),
IF(SUBTOTAL(109,M74)&gt;0,SUBTOTAL(109,M74),
IF(SUBTOTAL(109,M73)&gt;0,SUBTOTAL(109,M73),
IF(SUBTOTAL(109,M72)&gt;0,SUBTOTAL(109,M72),
IF(SUBTOTAL(109,M71)&gt;0,SUBTOTAL(109,M71),
IF(SUBTOTAL(109,M70)&gt;0,SUBTOTAL(109,M70))))))),1,0))</f>
        <v>0</v>
      </c>
      <c r="F76" s="983">
        <f>IF(Расходы_2[[#This Row],[КОСГУ]]&gt;
IF(SUBTOTAL(109,N75)&gt;0,SUBTOTAL(109,N75),
IF(SUBTOTAL(109,N74)&gt;0,SUBTOTAL(109,N74),
IF(SUBTOTAL(109,N73)&gt;0,SUBTOTAL(109,N73),
IF(SUBTOTAL(109,N72)&gt;0,SUBTOTAL(109,N72),
IF(SUBTOTAL(109,N71)&gt;0,SUBTOTAL(109,N71),
IF(SUBTOTAL(109,N70)&gt;0,SUBTOTAL(109,N70),
IF(SUBTOTAL(109,N69)&gt;0,SUBTOTAL(109,N69),
IF(SUBTOTAL(109,N68)&gt;0,SUBTOTAL(109,N68),
IF(SUBTOTAL(109,N67)&gt;0,SUBTOTAL(109,N67),
IF(SUBTOTAL(109,N66)&gt;0,SUBTOTAL(109,N66),
IF(SUBTOTAL(109,N65)&gt;0,SUBTOTAL(109,N66),
IF(SUBTOTAL(109,N64)&gt;0,SUBTOTAL(109,N64),
IF(SUBTOTAL(109,N63)&gt;0,SUBTOTAL(109,N63),
IF(SUBTOTAL(109,N62)&gt;0,SUBTOTAL(109,N62),
IF(SUBTOTAL(109,N61)&gt;0,SUBTOTAL(109,N61),
IF(SUBTOTAL(109,N60)&gt;0,SUBTOTAL(109,N60),
IF(SUBTOTAL(109,N59)&gt;0,SUBTOTAL(109,N59),
IF(SUBTOTAL(109,N58)&gt;0,SUBTOTAL(109,N58),
IF(SUBTOTAL(109,N57)&gt;0,SUBTOTAL(109,N57),
))))))))))))))))))),1,0)</f>
        <v>1</v>
      </c>
      <c r="G76" s="983" t="e">
        <f ca="1">_xlfn.AGGREGATE(9,5,$D$69:D76)</f>
        <v>#NAME?</v>
      </c>
      <c r="H76" s="983" t="e">
        <f ca="1">_xlfn.AGGREGATE(9,5,$E$69:E76)</f>
        <v>#NAME?</v>
      </c>
      <c r="I76" s="983" t="e">
        <f ca="1">_xlfn.AGGREGATE(9,5,$F$69:F76)</f>
        <v>#NAME?</v>
      </c>
      <c r="J76" s="1286" t="str">
        <f>IF(SUM(Расходы_2[[#This Row],[2 025]:[2 027]])=0,"000",".")</f>
        <v>000</v>
      </c>
      <c r="K76" s="1287">
        <v>2</v>
      </c>
      <c r="L76" s="1266">
        <v>119</v>
      </c>
      <c r="M76" s="1288"/>
      <c r="N76" s="1266">
        <v>265</v>
      </c>
      <c r="O76" s="1300"/>
      <c r="P76" s="1300"/>
      <c r="Q76" s="1300"/>
      <c r="R76" s="1239" t="s">
        <v>748</v>
      </c>
      <c r="S76" s="1128"/>
      <c r="U76" s="913"/>
      <c r="W76" s="913"/>
      <c r="X76" s="913"/>
      <c r="Y76" s="959"/>
      <c r="Z76" s="959"/>
      <c r="AA76" s="959"/>
      <c r="AB76" s="963"/>
      <c r="AE76" s="51">
        <f>COUNT(2,$AF$69:AF76)-1</f>
        <v>8</v>
      </c>
      <c r="AF76" s="50">
        <v>1</v>
      </c>
    </row>
    <row r="77" spans="1:32" ht="20.25" customHeight="1">
      <c r="A77" s="983">
        <f>IF(Расходы_2[[#This Row],[КВР]]&gt;=
IF(SUBTOTAL(109,L76)&gt;0,SUBTOTAL(109,L76),
IF(SUBTOTAL(109,L75)&gt;0,SUBTOTAL(109,L75),
IF(SUBTOTAL(109,L74)&gt;0,SUBTOTAL(109,L74),
IF(SUBTOTAL(109,L73)&gt;0,SUBTOTAL(109,L73),
IF(SUBTOTAL(109,L72)&gt;0,SUBTOTAL(109,L72),
IF(SUBTOTAL(109,L71)&gt;0,SUBTOTAL(109,L71),
IF(SUBTOTAL(109,L70)&gt;0,SUBTOTAL(109,L70),
IF(SUBTOTAL(109,L69)&gt;0,SUBTOTAL(109,L69),
IF(SUBTOTAL(109,L68)&gt;0,SUBTOTAL(109,L68),
IF(SUBTOTAL(109,L67)&gt;0,SUBTOTAL(109,L67),
IF(SUBTOTAL(109,L66)&gt;0,SUBTOTAL(109,L67),
IF(SUBTOTAL(109,L65)&gt;0,SUBTOTAL(109,L65),
IF(SUBTOTAL(109,L64)&gt;0,SUBTOTAL(109,L64),
IF(SUBTOTAL(109,L63)&gt;0,SUBTOTAL(109,L63),
IF(SUBTOTAL(109,L62)&gt;0,SUBTOTAL(109,L62),
IF(SUBTOTAL(109,L61)&gt;0,SUBTOTAL(109,L61),
IF(SUBTOTAL(109,L60)&gt;0,SUBTOTAL(109,L60),
IF(SUBTOTAL(109,L59)&gt;0,SUBTOTAL(109,L59),
IF(SUBTOTAL(109,L58)&gt;0,SUBTOTAL(109,L58),
))))))))))))))))))),1,0)</f>
        <v>1</v>
      </c>
      <c r="B77" s="983"/>
      <c r="C77" s="983">
        <f>IF(Расходы_2[[#This Row],[КОСГУ]]&gt;=
IF(SUBTOTAL(109,N76)&gt;0,SUBTOTAL(109,N76),
IF(SUBTOTAL(109,N75)&gt;0,SUBTOTAL(109,N75),
IF(SUBTOTAL(109,N74)&gt;0,SUBTOTAL(109,N74),
IF(SUBTOTAL(109,N73)&gt;0,SUBTOTAL(109,N73),
IF(SUBTOTAL(109,N72)&gt;0,SUBTOTAL(109,N72),
IF(SUBTOTAL(109,N71)&gt;0,SUBTOTAL(109,N71),
IF(SUBTOTAL(109,N70)&gt;0,SUBTOTAL(109,N70),
IF(SUBTOTAL(109,N69)&gt;0,SUBTOTAL(109,N69),
IF(SUBTOTAL(109,N68)&gt;0,SUBTOTAL(109,N68),
IF(SUBTOTAL(109,N67)&gt;0,SUBTOTAL(109,N67),
IF(SUBTOTAL(109,N66)&gt;0,SUBTOTAL(109,N67),
IF(SUBTOTAL(109,N65)&gt;0,SUBTOTAL(109,N65),
IF(SUBTOTAL(109,N64)&gt;0,SUBTOTAL(109,N64),
IF(SUBTOTAL(109,N63)&gt;0,SUBTOTAL(109,N63),
IF(SUBTOTAL(109,N62)&gt;0,SUBTOTAL(109,N62),
IF(SUBTOTAL(109,N61)&gt;0,SUBTOTAL(109,N61),
IF(SUBTOTAL(109,N60)&gt;0,SUBTOTAL(109,N60),
IF(SUBTOTAL(109,N59)&gt;0,SUBTOTAL(109,N59),
IF(SUBTOTAL(109,N58)&gt;0,SUBTOTAL(109,N58),
))))))))))))))))))),1,0)</f>
        <v>1</v>
      </c>
      <c r="D77" s="983">
        <f>IF(Расходы_2[[#This Row],[КВР]]&gt;
IF(SUBTOTAL(109,L76)&gt;0,SUBTOTAL(109,L76),
IF(SUBTOTAL(109,L75)&gt;0,SUBTOTAL(109,L75),
IF(SUBTOTAL(109,L74)&gt;0,SUBTOTAL(109,L74),
IF(SUBTOTAL(109,L73)&gt;0,SUBTOTAL(109,L73),
IF(SUBTOTAL(109,L72)&gt;0,SUBTOTAL(109,L72),
IF(SUBTOTAL(109,L71)&gt;0,SUBTOTAL(109,L71),
IF(SUBTOTAL(109,L70)&gt;0,SUBTOTAL(109,L70),
IF(SUBTOTAL(109,L69)&gt;0,SUBTOTAL(109,L69),
IF(SUBTOTAL(109,L68)&gt;0,SUBTOTAL(109,L68),
IF(SUBTOTAL(109,L67)&gt;0,SUBTOTAL(109,L67),
IF(SUBTOTAL(109,L66)&gt;0,SUBTOTAL(109,L67),
IF(SUBTOTAL(109,L65)&gt;0,SUBTOTAL(109,L65),
IF(SUBTOTAL(109,L64)&gt;0,SUBTOTAL(109,L64),
IF(SUBTOTAL(109,L63)&gt;0,SUBTOTAL(109,L63),
IF(SUBTOTAL(109,L62)&gt;0,SUBTOTAL(109,L62),
IF(SUBTOTAL(109,L61)&gt;0,SUBTOTAL(109,L61),
IF(SUBTOTAL(109,L60)&gt;0,SUBTOTAL(109,L60),
IF(SUBTOTAL(109,L59)&gt;0,SUBTOTAL(109,L59),
IF(SUBTOTAL(109,L58)&gt;0,SUBTOTAL(109,L58),
))))))))))))))))))),1,0)</f>
        <v>0</v>
      </c>
      <c r="E77" s="983">
        <f>IF(AND(Расходы_2[[#This Row],[КЦ]]="14561Э",M76="14561Т"),1,
IF(Расходы_2[[#This Row],[КЦ]]&gt;
IF(SUBTOTAL(109,M76)&gt;0,SUBTOTAL(109,M76),
IF(SUBTOTAL(109,M75)&gt;0,SUBTOTAL(109,M75),
IF(SUBTOTAL(109,M74)&gt;0,SUBTOTAL(109,M74),
IF(SUBTOTAL(109,M73)&gt;0,SUBTOTAL(109,M73),
IF(SUBTOTAL(109,M72)&gt;0,SUBTOTAL(109,M72),
IF(SUBTOTAL(109,M71)&gt;0,SUBTOTAL(109,M71))))))),1,0))</f>
        <v>0</v>
      </c>
      <c r="F77" s="983">
        <f>IF(Расходы_2[[#This Row],[КОСГУ]]&gt;
IF(SUBTOTAL(109,N76)&gt;0,SUBTOTAL(109,N76),
IF(SUBTOTAL(109,N75)&gt;0,SUBTOTAL(109,N75),
IF(SUBTOTAL(109,N74)&gt;0,SUBTOTAL(109,N74),
IF(SUBTOTAL(109,N73)&gt;0,SUBTOTAL(109,N73),
IF(SUBTOTAL(109,N72)&gt;0,SUBTOTAL(109,N72),
IF(SUBTOTAL(109,N71)&gt;0,SUBTOTAL(109,N71),
IF(SUBTOTAL(109,N70)&gt;0,SUBTOTAL(109,N70),
IF(SUBTOTAL(109,N69)&gt;0,SUBTOTAL(109,N69),
IF(SUBTOTAL(109,N68)&gt;0,SUBTOTAL(109,N68),
IF(SUBTOTAL(109,N67)&gt;0,SUBTOTAL(109,N67),
IF(SUBTOTAL(109,N66)&gt;0,SUBTOTAL(109,N67),
IF(SUBTOTAL(109,N65)&gt;0,SUBTOTAL(109,N65),
IF(SUBTOTAL(109,N64)&gt;0,SUBTOTAL(109,N64),
IF(SUBTOTAL(109,N63)&gt;0,SUBTOTAL(109,N63),
IF(SUBTOTAL(109,N62)&gt;0,SUBTOTAL(109,N62),
IF(SUBTOTAL(109,N61)&gt;0,SUBTOTAL(109,N61),
IF(SUBTOTAL(109,N60)&gt;0,SUBTOTAL(109,N60),
IF(SUBTOTAL(109,N59)&gt;0,SUBTOTAL(109,N59),
IF(SUBTOTAL(109,N58)&gt;0,SUBTOTAL(109,N58),
))))))))))))))))))),1,0)</f>
        <v>1</v>
      </c>
      <c r="G77" s="983" t="e">
        <f ca="1">_xlfn.AGGREGATE(9,5,$D$69:D77)</f>
        <v>#NAME?</v>
      </c>
      <c r="H77" s="983" t="e">
        <f ca="1">_xlfn.AGGREGATE(9,5,$E$69:E77)</f>
        <v>#NAME?</v>
      </c>
      <c r="I77" s="983" t="e">
        <f ca="1">_xlfn.AGGREGATE(9,5,$F$69:F77)</f>
        <v>#NAME?</v>
      </c>
      <c r="J77" s="964" t="str">
        <f>IF(SUM(Расходы_2[[#This Row],[2 025]:[2 027]])=0,"000",".")</f>
        <v>000</v>
      </c>
      <c r="K77" s="965">
        <v>2</v>
      </c>
      <c r="L77" s="908">
        <v>119</v>
      </c>
      <c r="M77" s="966"/>
      <c r="N77" s="908">
        <v>266</v>
      </c>
      <c r="O77" s="967"/>
      <c r="P77" s="967"/>
      <c r="Q77" s="967"/>
      <c r="R77" s="1239" t="s">
        <v>749</v>
      </c>
      <c r="S77" s="1128"/>
      <c r="U77" s="51"/>
      <c r="W77" s="51"/>
      <c r="X77" s="51"/>
      <c r="Y77" s="959"/>
      <c r="Z77" s="959"/>
      <c r="AA77" s="959"/>
      <c r="AB77" s="963"/>
      <c r="AE77" s="51">
        <f>COUNT(2,$AF$69:AF77)-1</f>
        <v>9</v>
      </c>
      <c r="AF77" s="50">
        <v>1</v>
      </c>
    </row>
    <row r="78" spans="1:32" ht="20.25" customHeight="1">
      <c r="A78" s="983">
        <f>IF(Расходы_2[[#This Row],[КВР]]&gt;=
IF(SUBTOTAL(109,L77)&gt;0,SUBTOTAL(109,L77),
IF(SUBTOTAL(109,L76)&gt;0,SUBTOTAL(109,L76),
IF(SUBTOTAL(109,L75)&gt;0,SUBTOTAL(109,L75),
IF(SUBTOTAL(109,L74)&gt;0,SUBTOTAL(109,L74),
IF(SUBTOTAL(109,L73)&gt;0,SUBTOTAL(109,L73),
IF(SUBTOTAL(109,L72)&gt;0,SUBTOTAL(109,L72),
IF(SUBTOTAL(109,L71)&gt;0,SUBTOTAL(109,L71),
IF(SUBTOTAL(109,L70)&gt;0,SUBTOTAL(109,L70),
IF(SUBTOTAL(109,L69)&gt;0,SUBTOTAL(109,L69),
IF(SUBTOTAL(109,L68)&gt;0,SUBTOTAL(109,L68),
IF(SUBTOTAL(109,L67)&gt;0,SUBTOTAL(109,L68),
IF(SUBTOTAL(109,L66)&gt;0,SUBTOTAL(109,L66),
IF(SUBTOTAL(109,L65)&gt;0,SUBTOTAL(109,L65),
IF(SUBTOTAL(109,L64)&gt;0,SUBTOTAL(109,L64),
IF(SUBTOTAL(109,L63)&gt;0,SUBTOTAL(109,L63),
IF(SUBTOTAL(109,L62)&gt;0,SUBTOTAL(109,L62),
IF(SUBTOTAL(109,L61)&gt;0,SUBTOTAL(109,L61),
IF(SUBTOTAL(109,L60)&gt;0,SUBTOTAL(109,L60),
IF(SUBTOTAL(109,L59)&gt;0,SUBTOTAL(109,L59),
))))))))))))))))))),1,0)</f>
        <v>1</v>
      </c>
      <c r="B78" s="983"/>
      <c r="C78" s="983">
        <f>IF(Расходы_2[[#This Row],[КОСГУ]]&gt;=
IF(SUBTOTAL(109,N77)&gt;0,SUBTOTAL(109,N77),
IF(SUBTOTAL(109,N76)&gt;0,SUBTOTAL(109,N76),
IF(SUBTOTAL(109,N75)&gt;0,SUBTOTAL(109,N75),
IF(SUBTOTAL(109,N74)&gt;0,SUBTOTAL(109,N74),
IF(SUBTOTAL(109,N73)&gt;0,SUBTOTAL(109,N73),
IF(SUBTOTAL(109,N72)&gt;0,SUBTOTAL(109,N72),
IF(SUBTOTAL(109,N71)&gt;0,SUBTOTAL(109,N71),
IF(SUBTOTAL(109,N70)&gt;0,SUBTOTAL(109,N70),
IF(SUBTOTAL(109,N69)&gt;0,SUBTOTAL(109,N69),
IF(SUBTOTAL(109,N68)&gt;0,SUBTOTAL(109,N68),
IF(SUBTOTAL(109,N67)&gt;0,SUBTOTAL(109,N68),
IF(SUBTOTAL(109,N66)&gt;0,SUBTOTAL(109,N66),
IF(SUBTOTAL(109,N65)&gt;0,SUBTOTAL(109,N65),
IF(SUBTOTAL(109,N64)&gt;0,SUBTOTAL(109,N64),
IF(SUBTOTAL(109,N63)&gt;0,SUBTOTAL(109,N63),
IF(SUBTOTAL(109,N62)&gt;0,SUBTOTAL(109,N62),
IF(SUBTOTAL(109,N61)&gt;0,SUBTOTAL(109,N61),
IF(SUBTOTAL(109,N60)&gt;0,SUBTOTAL(109,N60),
IF(SUBTOTAL(109,N59)&gt;0,SUBTOTAL(109,N59),
))))))))))))))))))),1,0)</f>
        <v>0</v>
      </c>
      <c r="D78" s="983">
        <f>IF(Расходы_2[[#This Row],[КВР]]&gt;
IF(SUBTOTAL(109,L77)&gt;0,SUBTOTAL(109,L77),
IF(SUBTOTAL(109,L76)&gt;0,SUBTOTAL(109,L76),
IF(SUBTOTAL(109,L75)&gt;0,SUBTOTAL(109,L75),
IF(SUBTOTAL(109,L74)&gt;0,SUBTOTAL(109,L74),
IF(SUBTOTAL(109,L73)&gt;0,SUBTOTAL(109,L73),
IF(SUBTOTAL(109,L72)&gt;0,SUBTOTAL(109,L72),
IF(SUBTOTAL(109,L71)&gt;0,SUBTOTAL(109,L71),
IF(SUBTOTAL(109,L70)&gt;0,SUBTOTAL(109,L70),
IF(SUBTOTAL(109,L69)&gt;0,SUBTOTAL(109,L69),
IF(SUBTOTAL(109,L68)&gt;0,SUBTOTAL(109,L68),
IF(SUBTOTAL(109,L67)&gt;0,SUBTOTAL(109,L68),
IF(SUBTOTAL(109,L66)&gt;0,SUBTOTAL(109,L66),
IF(SUBTOTAL(109,L65)&gt;0,SUBTOTAL(109,L65),
IF(SUBTOTAL(109,L64)&gt;0,SUBTOTAL(109,L64),
IF(SUBTOTAL(109,L63)&gt;0,SUBTOTAL(109,L63),
IF(SUBTOTAL(109,L62)&gt;0,SUBTOTAL(109,L62),
IF(SUBTOTAL(109,L61)&gt;0,SUBTOTAL(109,L61),
IF(SUBTOTAL(109,L60)&gt;0,SUBTOTAL(109,L60),
IF(SUBTOTAL(109,L59)&gt;0,SUBTOTAL(109,L59),
))))))))))))))))))),1,0)</f>
        <v>0</v>
      </c>
      <c r="E78" s="983">
        <f>IF(AND(Расходы_2[[#This Row],[КЦ]]="14561Э",M77="14561Т"),1,
IF(Расходы_2[[#This Row],[КЦ]]&gt;
IF(SUBTOTAL(109,M77)&gt;0,SUBTOTAL(109,M77),
IF(SUBTOTAL(109,M76)&gt;0,SUBTOTAL(109,M76),
IF(SUBTOTAL(109,M75)&gt;0,SUBTOTAL(109,M75),
IF(SUBTOTAL(109,M74)&gt;0,SUBTOTAL(109,M74),
IF(SUBTOTAL(109,M73)&gt;0,SUBTOTAL(109,M73),
IF(SUBTOTAL(109,M72)&gt;0,SUBTOTAL(109,M72))))))),1,0))</f>
        <v>0</v>
      </c>
      <c r="F78" s="983">
        <f>IF(Расходы_2[[#This Row],[КОСГУ]]&gt;
IF(SUBTOTAL(109,N77)&gt;0,SUBTOTAL(109,N77),
IF(SUBTOTAL(109,N76)&gt;0,SUBTOTAL(109,N76),
IF(SUBTOTAL(109,N75)&gt;0,SUBTOTAL(109,N75),
IF(SUBTOTAL(109,N74)&gt;0,SUBTOTAL(109,N74),
IF(SUBTOTAL(109,N73)&gt;0,SUBTOTAL(109,N73),
IF(SUBTOTAL(109,N72)&gt;0,SUBTOTAL(109,N72),
IF(SUBTOTAL(109,N71)&gt;0,SUBTOTAL(109,N71),
IF(SUBTOTAL(109,N70)&gt;0,SUBTOTAL(109,N70),
IF(SUBTOTAL(109,N69)&gt;0,SUBTOTAL(109,N69),
IF(SUBTOTAL(109,N68)&gt;0,SUBTOTAL(109,N68),
IF(SUBTOTAL(109,N67)&gt;0,SUBTOTAL(109,N68),
IF(SUBTOTAL(109,N66)&gt;0,SUBTOTAL(109,N66),
IF(SUBTOTAL(109,N65)&gt;0,SUBTOTAL(109,N65),
IF(SUBTOTAL(109,N64)&gt;0,SUBTOTAL(109,N64),
IF(SUBTOTAL(109,N63)&gt;0,SUBTOTAL(109,N63),
IF(SUBTOTAL(109,N62)&gt;0,SUBTOTAL(109,N62),
IF(SUBTOTAL(109,N61)&gt;0,SUBTOTAL(109,N61),
IF(SUBTOTAL(109,N60)&gt;0,SUBTOTAL(109,N60),
IF(SUBTOTAL(109,N59)&gt;0,SUBTOTAL(109,N59),
))))))))))))))))))),1,0)</f>
        <v>0</v>
      </c>
      <c r="G78" s="983" t="e">
        <f ca="1">_xlfn.AGGREGATE(9,5,$D$69:D78)</f>
        <v>#NAME?</v>
      </c>
      <c r="H78" s="983" t="e">
        <f ca="1">_xlfn.AGGREGATE(9,5,$E$69:E78)</f>
        <v>#NAME?</v>
      </c>
      <c r="I78" s="983" t="e">
        <f ca="1">_xlfn.AGGREGATE(9,5,$F$69:F78)</f>
        <v>#NAME?</v>
      </c>
      <c r="J78" s="964" t="str">
        <f>IF(SUM(Расходы_2[[#This Row],[2 025]:[2 027]])=0,"000",".")</f>
        <v>000</v>
      </c>
      <c r="K78" s="965">
        <v>2</v>
      </c>
      <c r="L78" s="908">
        <v>119</v>
      </c>
      <c r="M78" s="966"/>
      <c r="N78" s="908">
        <v>226</v>
      </c>
      <c r="O78" s="961"/>
      <c r="P78" s="961"/>
      <c r="Q78" s="961"/>
      <c r="R78" s="1239" t="s">
        <v>1101</v>
      </c>
      <c r="S78" s="1128"/>
      <c r="U78" s="51"/>
      <c r="W78" s="51"/>
      <c r="X78" s="51"/>
      <c r="Y78" s="959"/>
      <c r="Z78" s="959"/>
      <c r="AA78" s="959"/>
      <c r="AB78" s="963"/>
      <c r="AE78" s="51">
        <f>COUNT(2,$AF$69:AF78)-1</f>
        <v>10</v>
      </c>
      <c r="AF78" s="50">
        <v>1</v>
      </c>
    </row>
    <row r="79" spans="1:32" ht="20.25" customHeight="1">
      <c r="A79" s="983">
        <f>IF(Расходы_2[[#This Row],[КВР]]&gt;=
IF(SUBTOTAL(109,L78)&gt;0,SUBTOTAL(109,L78),
IF(SUBTOTAL(109,L77)&gt;0,SUBTOTAL(109,L77),
IF(SUBTOTAL(109,L76)&gt;0,SUBTOTAL(109,L76),
IF(SUBTOTAL(109,L75)&gt;0,SUBTOTAL(109,L75),
IF(SUBTOTAL(109,L74)&gt;0,SUBTOTAL(109,L74),
IF(SUBTOTAL(109,L73)&gt;0,SUBTOTAL(109,L73),
IF(SUBTOTAL(109,L72)&gt;0,SUBTOTAL(109,L72),
IF(SUBTOTAL(109,L71)&gt;0,SUBTOTAL(109,L71),
IF(SUBTOTAL(109,L70)&gt;0,SUBTOTAL(109,L70),
IF(SUBTOTAL(109,L69)&gt;0,SUBTOTAL(109,L69),
IF(SUBTOTAL(109,L68)&gt;0,SUBTOTAL(109,L69),
IF(SUBTOTAL(109,L67)&gt;0,SUBTOTAL(109,L67),
IF(SUBTOTAL(109,L66)&gt;0,SUBTOTAL(109,L66),
IF(SUBTOTAL(109,L65)&gt;0,SUBTOTAL(109,L65),
IF(SUBTOTAL(109,L64)&gt;0,SUBTOTAL(109,L64),
IF(SUBTOTAL(109,L63)&gt;0,SUBTOTAL(109,L63),
IF(SUBTOTAL(109,L62)&gt;0,SUBTOTAL(109,L62),
IF(SUBTOTAL(109,L61)&gt;0,SUBTOTAL(109,L61),
IF(SUBTOTAL(109,L60)&gt;0,SUBTOTAL(109,L60),
))))))))))))))))))),1,0)</f>
        <v>1</v>
      </c>
      <c r="B79" s="983"/>
      <c r="C79" s="983">
        <f>IF(Расходы_2[[#This Row],[КОСГУ]]&gt;=
IF(SUBTOTAL(109,N78)&gt;0,SUBTOTAL(109,N78),
IF(SUBTOTAL(109,N77)&gt;0,SUBTOTAL(109,N77),
IF(SUBTOTAL(109,N76)&gt;0,SUBTOTAL(109,N76),
IF(SUBTOTAL(109,N75)&gt;0,SUBTOTAL(109,N75),
IF(SUBTOTAL(109,N74)&gt;0,SUBTOTAL(109,N74),
IF(SUBTOTAL(109,N73)&gt;0,SUBTOTAL(109,N73),
IF(SUBTOTAL(109,N72)&gt;0,SUBTOTAL(109,N72),
IF(SUBTOTAL(109,N71)&gt;0,SUBTOTAL(109,N71),
IF(SUBTOTAL(109,N70)&gt;0,SUBTOTAL(109,N70),
IF(SUBTOTAL(109,N69)&gt;0,SUBTOTAL(109,N69),
IF(SUBTOTAL(109,N68)&gt;0,SUBTOTAL(109,N69),
IF(SUBTOTAL(109,N67)&gt;0,SUBTOTAL(109,N67),
IF(SUBTOTAL(109,N66)&gt;0,SUBTOTAL(109,N66),
IF(SUBTOTAL(109,N65)&gt;0,SUBTOTAL(109,N65),
IF(SUBTOTAL(109,N64)&gt;0,SUBTOTAL(109,N64),
IF(SUBTOTAL(109,N63)&gt;0,SUBTOTAL(109,N63),
IF(SUBTOTAL(109,N62)&gt;0,SUBTOTAL(109,N62),
IF(SUBTOTAL(109,N61)&gt;0,SUBTOTAL(109,N61),
IF(SUBTOTAL(109,N60)&gt;0,SUBTOTAL(109,N60),
))))))))))))))))))),1,0)</f>
        <v>0</v>
      </c>
      <c r="D79" s="983">
        <f>IF(Расходы_2[[#This Row],[КВР]]&gt;
IF(SUBTOTAL(109,L78)&gt;0,SUBTOTAL(109,L78),
IF(SUBTOTAL(109,L77)&gt;0,SUBTOTAL(109,L77),
IF(SUBTOTAL(109,L76)&gt;0,SUBTOTAL(109,L76),
IF(SUBTOTAL(109,L75)&gt;0,SUBTOTAL(109,L75),
IF(SUBTOTAL(109,L74)&gt;0,SUBTOTAL(109,L74),
IF(SUBTOTAL(109,L73)&gt;0,SUBTOTAL(109,L73),
IF(SUBTOTAL(109,L72)&gt;0,SUBTOTAL(109,L72),
IF(SUBTOTAL(109,L71)&gt;0,SUBTOTAL(109,L71),
IF(SUBTOTAL(109,L70)&gt;0,SUBTOTAL(109,L70),
IF(SUBTOTAL(109,L69)&gt;0,SUBTOTAL(109,L69),
IF(SUBTOTAL(109,L68)&gt;0,SUBTOTAL(109,L69),
IF(SUBTOTAL(109,L67)&gt;0,SUBTOTAL(109,L67),
IF(SUBTOTAL(109,L66)&gt;0,SUBTOTAL(109,L66),
IF(SUBTOTAL(109,L65)&gt;0,SUBTOTAL(109,L65),
IF(SUBTOTAL(109,L64)&gt;0,SUBTOTAL(109,L64),
IF(SUBTOTAL(109,L63)&gt;0,SUBTOTAL(109,L63),
IF(SUBTOTAL(109,L62)&gt;0,SUBTOTAL(109,L62),
IF(SUBTOTAL(109,L61)&gt;0,SUBTOTAL(109,L61),
IF(SUBTOTAL(109,L60)&gt;0,SUBTOTAL(109,L60),
))))))))))))))))))),1,0)</f>
        <v>1</v>
      </c>
      <c r="E79" s="983">
        <f>IF(AND(Расходы_2[[#This Row],[КЦ]]="14561Э",M78="14561Т"),1,
IF(Расходы_2[[#This Row],[КЦ]]&gt;
IF(SUBTOTAL(109,M78)&gt;0,SUBTOTAL(109,M78),
IF(SUBTOTAL(109,M77)&gt;0,SUBTOTAL(109,M77),
IF(SUBTOTAL(109,M76)&gt;0,SUBTOTAL(109,M76),
IF(SUBTOTAL(109,M75)&gt;0,SUBTOTAL(109,M75),
IF(SUBTOTAL(109,M74)&gt;0,SUBTOTAL(109,M74),
IF(SUBTOTAL(109,M73)&gt;0,SUBTOTAL(109,M73))))))),1,0))</f>
        <v>0</v>
      </c>
      <c r="F79" s="983">
        <f>IF(Расходы_2[[#This Row],[КОСГУ]]&gt;
IF(SUBTOTAL(109,N78)&gt;0,SUBTOTAL(109,N78),
IF(SUBTOTAL(109,N77)&gt;0,SUBTOTAL(109,N77),
IF(SUBTOTAL(109,N76)&gt;0,SUBTOTAL(109,N76),
IF(SUBTOTAL(109,N75)&gt;0,SUBTOTAL(109,N75),
IF(SUBTOTAL(109,N74)&gt;0,SUBTOTAL(109,N74),
IF(SUBTOTAL(109,N73)&gt;0,SUBTOTAL(109,N73),
IF(SUBTOTAL(109,N72)&gt;0,SUBTOTAL(109,N72),
IF(SUBTOTAL(109,N71)&gt;0,SUBTOTAL(109,N71),
IF(SUBTOTAL(109,N70)&gt;0,SUBTOTAL(109,N70),
IF(SUBTOTAL(109,N69)&gt;0,SUBTOTAL(109,N69),
IF(SUBTOTAL(109,N68)&gt;0,SUBTOTAL(109,N69),
IF(SUBTOTAL(109,N67)&gt;0,SUBTOTAL(109,N67),
IF(SUBTOTAL(109,N66)&gt;0,SUBTOTAL(109,N66),
IF(SUBTOTAL(109,N65)&gt;0,SUBTOTAL(109,N65),
IF(SUBTOTAL(109,N64)&gt;0,SUBTOTAL(109,N64),
IF(SUBTOTAL(109,N63)&gt;0,SUBTOTAL(109,N63),
IF(SUBTOTAL(109,N62)&gt;0,SUBTOTAL(109,N62),
IF(SUBTOTAL(109,N61)&gt;0,SUBTOTAL(109,N61),
IF(SUBTOTAL(109,N60)&gt;0,SUBTOTAL(109,N60),
))))))))))))))))))),1,0)</f>
        <v>0</v>
      </c>
      <c r="G79" s="983" t="e">
        <f ca="1">_xlfn.AGGREGATE(9,5,$D$69:D79)</f>
        <v>#NAME?</v>
      </c>
      <c r="H79" s="983" t="e">
        <f ca="1">_xlfn.AGGREGATE(9,5,$E$69:E79)</f>
        <v>#NAME?</v>
      </c>
      <c r="I79" s="983" t="e">
        <f ca="1">_xlfn.AGGREGATE(9,5,$F$69:F79)</f>
        <v>#NAME?</v>
      </c>
      <c r="J79" s="964" t="str">
        <f>IF(SUM(Расходы_2[[#This Row],[2 025]:[2 027]])=0,"000",".")</f>
        <v>000</v>
      </c>
      <c r="K79" s="965">
        <v>2</v>
      </c>
      <c r="L79" s="908">
        <v>244</v>
      </c>
      <c r="M79" s="966"/>
      <c r="N79" s="908">
        <v>221</v>
      </c>
      <c r="O79" s="967"/>
      <c r="P79" s="967"/>
      <c r="Q79" s="967"/>
      <c r="R79" s="1239"/>
      <c r="S79" s="1128"/>
      <c r="U79" s="51"/>
      <c r="W79" s="51"/>
      <c r="X79" s="51"/>
      <c r="Y79" s="959"/>
      <c r="Z79" s="959"/>
      <c r="AA79" s="959"/>
      <c r="AB79" s="963"/>
      <c r="AE79" s="51">
        <f>COUNT(102,$AF$69:AF79)-1</f>
        <v>11</v>
      </c>
      <c r="AF79" s="50">
        <v>1</v>
      </c>
    </row>
    <row r="80" spans="1:32" ht="20.25" customHeight="1">
      <c r="A80" s="983">
        <f>IF(Расходы_2[[#This Row],[КВР]]&gt;=
IF(SUBTOTAL(109,L79)&gt;0,SUBTOTAL(109,L79),
IF(SUBTOTAL(109,L78)&gt;0,SUBTOTAL(109,L78),
IF(SUBTOTAL(109,L77)&gt;0,SUBTOTAL(109,L77),
IF(SUBTOTAL(109,L76)&gt;0,SUBTOTAL(109,L76),
IF(SUBTOTAL(109,L75)&gt;0,SUBTOTAL(109,L75),
IF(SUBTOTAL(109,L74)&gt;0,SUBTOTAL(109,L74),
IF(SUBTOTAL(109,L73)&gt;0,SUBTOTAL(109,L73),
IF(SUBTOTAL(109,L72)&gt;0,SUBTOTAL(109,L72),
IF(SUBTOTAL(109,L71)&gt;0,SUBTOTAL(109,L71),
IF(SUBTOTAL(109,L70)&gt;0,SUBTOTAL(109,L70),
IF(SUBTOTAL(109,L69)&gt;0,SUBTOTAL(109,L70),
IF(SUBTOTAL(109,L68)&gt;0,SUBTOTAL(109,L68),
IF(SUBTOTAL(109,L67)&gt;0,SUBTOTAL(109,L67),
IF(SUBTOTAL(109,L66)&gt;0,SUBTOTAL(109,L66),
IF(SUBTOTAL(109,L65)&gt;0,SUBTOTAL(109,L65),
IF(SUBTOTAL(109,L64)&gt;0,SUBTOTAL(109,L64),
IF(SUBTOTAL(109,L63)&gt;0,SUBTOTAL(109,L63),
IF(SUBTOTAL(109,L62)&gt;0,SUBTOTAL(109,L62),
IF(SUBTOTAL(109,L61)&gt;0,SUBTOTAL(109,L61),
))))))))))))))))))),1,0)</f>
        <v>1</v>
      </c>
      <c r="B80" s="983"/>
      <c r="C80" s="983">
        <f>IF(Расходы_2[[#This Row],[КОСГУ]]&gt;=
IF(SUBTOTAL(109,N79)&gt;0,SUBTOTAL(109,N79),
IF(SUBTOTAL(109,N78)&gt;0,SUBTOTAL(109,N78),
IF(SUBTOTAL(109,N77)&gt;0,SUBTOTAL(109,N77),
IF(SUBTOTAL(109,N76)&gt;0,SUBTOTAL(109,N76),
IF(SUBTOTAL(109,N75)&gt;0,SUBTOTAL(109,N75),
IF(SUBTOTAL(109,N74)&gt;0,SUBTOTAL(109,N74),
IF(SUBTOTAL(109,N73)&gt;0,SUBTOTAL(109,N73),
IF(SUBTOTAL(109,N72)&gt;0,SUBTOTAL(109,N72),
IF(SUBTOTAL(109,N71)&gt;0,SUBTOTAL(109,N71),
IF(SUBTOTAL(109,N70)&gt;0,SUBTOTAL(109,N70),
IF(SUBTOTAL(109,N69)&gt;0,SUBTOTAL(109,N70),
IF(SUBTOTAL(109,N68)&gt;0,SUBTOTAL(109,N68),
IF(SUBTOTAL(109,N67)&gt;0,SUBTOTAL(109,N67),
IF(SUBTOTAL(109,N66)&gt;0,SUBTOTAL(109,N66),
IF(SUBTOTAL(109,N65)&gt;0,SUBTOTAL(109,N65),
IF(SUBTOTAL(109,N64)&gt;0,SUBTOTAL(109,N64),
IF(SUBTOTAL(109,N63)&gt;0,SUBTOTAL(109,N63),
IF(SUBTOTAL(109,N62)&gt;0,SUBTOTAL(109,N62),
IF(SUBTOTAL(109,N61)&gt;0,SUBTOTAL(109,N61),
))))))))))))))))))),1,0)</f>
        <v>1</v>
      </c>
      <c r="D80" s="983">
        <f>IF(Расходы_2[[#This Row],[КВР]]&gt;
IF(SUBTOTAL(109,L79)&gt;0,SUBTOTAL(109,L79),
IF(SUBTOTAL(109,L78)&gt;0,SUBTOTAL(109,L78),
IF(SUBTOTAL(109,L77)&gt;0,SUBTOTAL(109,L77),
IF(SUBTOTAL(109,L76)&gt;0,SUBTOTAL(109,L76),
IF(SUBTOTAL(109,L75)&gt;0,SUBTOTAL(109,L75),
IF(SUBTOTAL(109,L74)&gt;0,SUBTOTAL(109,L74),
IF(SUBTOTAL(109,L73)&gt;0,SUBTOTAL(109,L73),
IF(SUBTOTAL(109,L72)&gt;0,SUBTOTAL(109,L72),
IF(SUBTOTAL(109,L71)&gt;0,SUBTOTAL(109,L71),
IF(SUBTOTAL(109,L70)&gt;0,SUBTOTAL(109,L70),
IF(SUBTOTAL(109,L69)&gt;0,SUBTOTAL(109,L70),
IF(SUBTOTAL(109,L68)&gt;0,SUBTOTAL(109,L68),
IF(SUBTOTAL(109,L67)&gt;0,SUBTOTAL(109,L67),
IF(SUBTOTAL(109,L66)&gt;0,SUBTOTAL(109,L66),
IF(SUBTOTAL(109,L65)&gt;0,SUBTOTAL(109,L65),
IF(SUBTOTAL(109,L64)&gt;0,SUBTOTAL(109,L64),
IF(SUBTOTAL(109,L63)&gt;0,SUBTOTAL(109,L63),
IF(SUBTOTAL(109,L62)&gt;0,SUBTOTAL(109,L62),
IF(SUBTOTAL(109,L61)&gt;0,SUBTOTAL(109,L61),
))))))))))))))))))),1,0)</f>
        <v>0</v>
      </c>
      <c r="E80" s="983">
        <f>IF(AND(Расходы_2[[#This Row],[КЦ]]="14561Э",M79="14561Т"),1,
IF(Расходы_2[[#This Row],[КЦ]]&gt;
IF(SUBTOTAL(109,M79)&gt;0,SUBTOTAL(109,M79),
IF(SUBTOTAL(109,M78)&gt;0,SUBTOTAL(109,M78),
IF(SUBTOTAL(109,M77)&gt;0,SUBTOTAL(109,M77),
IF(SUBTOTAL(109,M76)&gt;0,SUBTOTAL(109,M76),
IF(SUBTOTAL(109,M75)&gt;0,SUBTOTAL(109,M75),
IF(SUBTOTAL(109,M74)&gt;0,SUBTOTAL(109,M74))))))),1,0))</f>
        <v>0</v>
      </c>
      <c r="F80" s="983">
        <f>IF(Расходы_2[[#This Row],[КОСГУ]]&gt;
IF(SUBTOTAL(109,N79)&gt;0,SUBTOTAL(109,N79),
IF(SUBTOTAL(109,N78)&gt;0,SUBTOTAL(109,N78),
IF(SUBTOTAL(109,N77)&gt;0,SUBTOTAL(109,N77),
IF(SUBTOTAL(109,N76)&gt;0,SUBTOTAL(109,N76),
IF(SUBTOTAL(109,N75)&gt;0,SUBTOTAL(109,N75),
IF(SUBTOTAL(109,N74)&gt;0,SUBTOTAL(109,N74),
IF(SUBTOTAL(109,N73)&gt;0,SUBTOTAL(109,N73),
IF(SUBTOTAL(109,N72)&gt;0,SUBTOTAL(109,N72),
IF(SUBTOTAL(109,N71)&gt;0,SUBTOTAL(109,N71),
IF(SUBTOTAL(109,N70)&gt;0,SUBTOTAL(109,N70),
IF(SUBTOTAL(109,N69)&gt;0,SUBTOTAL(109,N70),
IF(SUBTOTAL(109,N68)&gt;0,SUBTOTAL(109,N68),
IF(SUBTOTAL(109,N67)&gt;0,SUBTOTAL(109,N67),
IF(SUBTOTAL(109,N66)&gt;0,SUBTOTAL(109,N66),
IF(SUBTOTAL(109,N65)&gt;0,SUBTOTAL(109,N65),
IF(SUBTOTAL(109,N64)&gt;0,SUBTOTAL(109,N64),
IF(SUBTOTAL(109,N63)&gt;0,SUBTOTAL(109,N63),
IF(SUBTOTAL(109,N62)&gt;0,SUBTOTAL(109,N62),
IF(SUBTOTAL(109,N61)&gt;0,SUBTOTAL(109,N61),
))))))))))))))))))),1,0)</f>
        <v>1</v>
      </c>
      <c r="G80" s="983" t="e">
        <f ca="1">_xlfn.AGGREGATE(9,5,$D$69:D80)</f>
        <v>#NAME?</v>
      </c>
      <c r="H80" s="983" t="e">
        <f ca="1">_xlfn.AGGREGATE(9,5,$E$69:E80)</f>
        <v>#NAME?</v>
      </c>
      <c r="I80" s="983" t="e">
        <f ca="1">_xlfn.AGGREGATE(9,5,$F$69:F80)</f>
        <v>#NAME?</v>
      </c>
      <c r="J80" s="964" t="str">
        <f>IF(SUM(Расходы_2[[#This Row],[2 025]:[2 027]])=0,"000",".")</f>
        <v>.</v>
      </c>
      <c r="K80" s="965">
        <v>2</v>
      </c>
      <c r="L80" s="908">
        <v>244</v>
      </c>
      <c r="M80" s="966"/>
      <c r="N80" s="908">
        <v>223</v>
      </c>
      <c r="O80" s="1303">
        <v>60000</v>
      </c>
      <c r="P80" s="1303">
        <v>60000</v>
      </c>
      <c r="Q80" s="1303">
        <v>60000</v>
      </c>
      <c r="R80" s="1239" t="s">
        <v>262</v>
      </c>
      <c r="S80" s="1128"/>
      <c r="Y80" s="959"/>
      <c r="Z80" s="959"/>
      <c r="AA80" s="959"/>
      <c r="AB80" s="963"/>
      <c r="AC80" s="51"/>
      <c r="AD80" s="51"/>
      <c r="AE80" s="51">
        <f>COUNT(102,$AF$69:AF80)-1</f>
        <v>12</v>
      </c>
      <c r="AF80" s="50">
        <v>1</v>
      </c>
    </row>
    <row r="81" spans="1:32" ht="20.25" customHeight="1">
      <c r="A81" s="983">
        <f>IF(Расходы_2[[#This Row],[КВР]]&gt;=
IF(SUBTOTAL(109,L80)&gt;0,SUBTOTAL(109,L80),
IF(SUBTOTAL(109,L79)&gt;0,SUBTOTAL(109,L79),
IF(SUBTOTAL(109,L78)&gt;0,SUBTOTAL(109,L78),
IF(SUBTOTAL(109,L77)&gt;0,SUBTOTAL(109,L77),
IF(SUBTOTAL(109,L76)&gt;0,SUBTOTAL(109,L76),
IF(SUBTOTAL(109,L75)&gt;0,SUBTOTAL(109,L75),
IF(SUBTOTAL(109,L74)&gt;0,SUBTOTAL(109,L74),
IF(SUBTOTAL(109,L73)&gt;0,SUBTOTAL(109,L73),
IF(SUBTOTAL(109,L72)&gt;0,SUBTOTAL(109,L72),
IF(SUBTOTAL(109,L71)&gt;0,SUBTOTAL(109,L71),
IF(SUBTOTAL(109,L70)&gt;0,SUBTOTAL(109,L71),
IF(SUBTOTAL(109,L69)&gt;0,SUBTOTAL(109,L69),
IF(SUBTOTAL(109,L68)&gt;0,SUBTOTAL(109,L68),
IF(SUBTOTAL(109,L67)&gt;0,SUBTOTAL(109,L67),
IF(SUBTOTAL(109,L66)&gt;0,SUBTOTAL(109,L66),
IF(SUBTOTAL(109,L65)&gt;0,SUBTOTAL(109,L65),
IF(SUBTOTAL(109,L64)&gt;0,SUBTOTAL(109,L64),
IF(SUBTOTAL(109,L63)&gt;0,SUBTOTAL(109,L63),
IF(SUBTOTAL(109,L62)&gt;0,SUBTOTAL(109,L62),
))))))))))))))))))),1,0)</f>
        <v>1</v>
      </c>
      <c r="B81" s="983"/>
      <c r="C81" s="983">
        <f>IF(Расходы_2[[#This Row],[КОСГУ]]&gt;=
IF(SUBTOTAL(109,N80)&gt;0,SUBTOTAL(109,N80),
IF(SUBTOTAL(109,N79)&gt;0,SUBTOTAL(109,N79),
IF(SUBTOTAL(109,N78)&gt;0,SUBTOTAL(109,N78),
IF(SUBTOTAL(109,N77)&gt;0,SUBTOTAL(109,N77),
IF(SUBTOTAL(109,N76)&gt;0,SUBTOTAL(109,N76),
IF(SUBTOTAL(109,N75)&gt;0,SUBTOTAL(109,N75),
IF(SUBTOTAL(109,N74)&gt;0,SUBTOTAL(109,N74),
IF(SUBTOTAL(109,N73)&gt;0,SUBTOTAL(109,N73),
IF(SUBTOTAL(109,N72)&gt;0,SUBTOTAL(109,N72),
IF(SUBTOTAL(109,N71)&gt;0,SUBTOTAL(109,N71),
IF(SUBTOTAL(109,N70)&gt;0,SUBTOTAL(109,N71),
IF(SUBTOTAL(109,N69)&gt;0,SUBTOTAL(109,N69),
IF(SUBTOTAL(109,N68)&gt;0,SUBTOTAL(109,N68),
IF(SUBTOTAL(109,N67)&gt;0,SUBTOTAL(109,N67),
IF(SUBTOTAL(109,N66)&gt;0,SUBTOTAL(109,N66),
IF(SUBTOTAL(109,N65)&gt;0,SUBTOTAL(109,N65),
IF(SUBTOTAL(109,N64)&gt;0,SUBTOTAL(109,N64),
IF(SUBTOTAL(109,N63)&gt;0,SUBTOTAL(109,N63),
IF(SUBTOTAL(109,N62)&gt;0,SUBTOTAL(109,N62),
))))))))))))))))))),1,0)</f>
        <v>1</v>
      </c>
      <c r="D81" s="983">
        <f>IF(Расходы_2[[#This Row],[КВР]]&gt;
IF(SUBTOTAL(109,L80)&gt;0,SUBTOTAL(109,L80),
IF(SUBTOTAL(109,L79)&gt;0,SUBTOTAL(109,L79),
IF(SUBTOTAL(109,L78)&gt;0,SUBTOTAL(109,L78),
IF(SUBTOTAL(109,L77)&gt;0,SUBTOTAL(109,L77),
IF(SUBTOTAL(109,L76)&gt;0,SUBTOTAL(109,L76),
IF(SUBTOTAL(109,L75)&gt;0,SUBTOTAL(109,L75),
IF(SUBTOTAL(109,L74)&gt;0,SUBTOTAL(109,L74),
IF(SUBTOTAL(109,L73)&gt;0,SUBTOTAL(109,L73),
IF(SUBTOTAL(109,L72)&gt;0,SUBTOTAL(109,L72),
IF(SUBTOTAL(109,L71)&gt;0,SUBTOTAL(109,L71),
IF(SUBTOTAL(109,L70)&gt;0,SUBTOTAL(109,L71),
IF(SUBTOTAL(109,L69)&gt;0,SUBTOTAL(109,L69),
IF(SUBTOTAL(109,L68)&gt;0,SUBTOTAL(109,L68),
IF(SUBTOTAL(109,L67)&gt;0,SUBTOTAL(109,L67),
IF(SUBTOTAL(109,L66)&gt;0,SUBTOTAL(109,L66),
IF(SUBTOTAL(109,L65)&gt;0,SUBTOTAL(109,L65),
IF(SUBTOTAL(109,L64)&gt;0,SUBTOTAL(109,L64),
IF(SUBTOTAL(109,L63)&gt;0,SUBTOTAL(109,L63),
IF(SUBTOTAL(109,L62)&gt;0,SUBTOTAL(109,L62),
))))))))))))))))))),1,0)</f>
        <v>0</v>
      </c>
      <c r="E81" s="983">
        <f>IF(AND(Расходы_2[[#This Row],[КЦ]]="14561Э",M80="14561Т"),1,
IF(Расходы_2[[#This Row],[КЦ]]&gt;
IF(SUBTOTAL(109,M80)&gt;0,SUBTOTAL(109,M80),
IF(SUBTOTAL(109,M79)&gt;0,SUBTOTAL(109,M79),
IF(SUBTOTAL(109,M78)&gt;0,SUBTOTAL(109,M78),
IF(SUBTOTAL(109,M77)&gt;0,SUBTOTAL(109,M77),
IF(SUBTOTAL(109,M76)&gt;0,SUBTOTAL(109,M76),
IF(SUBTOTAL(109,M75)&gt;0,SUBTOTAL(109,M75))))))),1,0))</f>
        <v>0</v>
      </c>
      <c r="F81" s="983">
        <f>IF(Расходы_2[[#This Row],[КОСГУ]]&gt;
IF(SUBTOTAL(109,N80)&gt;0,SUBTOTAL(109,N80),
IF(SUBTOTAL(109,N79)&gt;0,SUBTOTAL(109,N79),
IF(SUBTOTAL(109,N78)&gt;0,SUBTOTAL(109,N78),
IF(SUBTOTAL(109,N77)&gt;0,SUBTOTAL(109,N77),
IF(SUBTOTAL(109,N76)&gt;0,SUBTOTAL(109,N76),
IF(SUBTOTAL(109,N75)&gt;0,SUBTOTAL(109,N75),
IF(SUBTOTAL(109,N74)&gt;0,SUBTOTAL(109,N74),
IF(SUBTOTAL(109,N73)&gt;0,SUBTOTAL(109,N73),
IF(SUBTOTAL(109,N72)&gt;0,SUBTOTAL(109,N72),
IF(SUBTOTAL(109,N71)&gt;0,SUBTOTAL(109,N71),
IF(SUBTOTAL(109,N70)&gt;0,SUBTOTAL(109,N71),
IF(SUBTOTAL(109,N69)&gt;0,SUBTOTAL(109,N69),
IF(SUBTOTAL(109,N68)&gt;0,SUBTOTAL(109,N68),
IF(SUBTOTAL(109,N67)&gt;0,SUBTOTAL(109,N67),
IF(SUBTOTAL(109,N66)&gt;0,SUBTOTAL(109,N66),
IF(SUBTOTAL(109,N65)&gt;0,SUBTOTAL(109,N65),
IF(SUBTOTAL(109,N64)&gt;0,SUBTOTAL(109,N64),
IF(SUBTOTAL(109,N63)&gt;0,SUBTOTAL(109,N63),
IF(SUBTOTAL(109,N62)&gt;0,SUBTOTAL(109,N62),
))))))))))))))))))),1,0)</f>
        <v>1</v>
      </c>
      <c r="G81" s="983" t="e">
        <f ca="1">_xlfn.AGGREGATE(9,5,$D$69:D81)</f>
        <v>#NAME?</v>
      </c>
      <c r="H81" s="983" t="e">
        <f ca="1">_xlfn.AGGREGATE(9,5,$E$69:E81)</f>
        <v>#NAME?</v>
      </c>
      <c r="I81" s="983" t="e">
        <f ca="1">_xlfn.AGGREGATE(9,5,$F$69:F81)</f>
        <v>#NAME?</v>
      </c>
      <c r="J81" s="964" t="str">
        <f>IF(SUM(Расходы_2[[#This Row],[2 025]:[2 027]])=0,"000",".")</f>
        <v>000</v>
      </c>
      <c r="K81" s="965">
        <v>2</v>
      </c>
      <c r="L81" s="908">
        <v>244</v>
      </c>
      <c r="M81" s="966"/>
      <c r="N81" s="908">
        <v>224</v>
      </c>
      <c r="O81" s="967"/>
      <c r="P81" s="967"/>
      <c r="Q81" s="967"/>
      <c r="R81" s="1239" t="s">
        <v>239</v>
      </c>
      <c r="S81" s="1128"/>
      <c r="Y81" s="959"/>
      <c r="Z81" s="959"/>
      <c r="AA81" s="959"/>
      <c r="AB81" s="51"/>
      <c r="AC81" s="51"/>
      <c r="AD81" s="51"/>
      <c r="AE81" s="51">
        <f>COUNT(102,$AF$69:AF81)-1</f>
        <v>13</v>
      </c>
      <c r="AF81" s="50">
        <v>1</v>
      </c>
    </row>
    <row r="82" spans="1:32" ht="20.25" customHeight="1">
      <c r="A82" s="983">
        <f>IF(Расходы_2[[#This Row],[КВР]]&gt;=
IF(SUBTOTAL(109,L81)&gt;0,SUBTOTAL(109,L81),
IF(SUBTOTAL(109,L80)&gt;0,SUBTOTAL(109,L80),
IF(SUBTOTAL(109,L79)&gt;0,SUBTOTAL(109,L79),
IF(SUBTOTAL(109,L78)&gt;0,SUBTOTAL(109,L78),
IF(SUBTOTAL(109,L77)&gt;0,SUBTOTAL(109,L77),
IF(SUBTOTAL(109,L76)&gt;0,SUBTOTAL(109,L76),
IF(SUBTOTAL(109,L75)&gt;0,SUBTOTAL(109,L75),
IF(SUBTOTAL(109,L74)&gt;0,SUBTOTAL(109,L74),
IF(SUBTOTAL(109,L73)&gt;0,SUBTOTAL(109,L73),
IF(SUBTOTAL(109,L72)&gt;0,SUBTOTAL(109,L72),
IF(SUBTOTAL(109,L71)&gt;0,SUBTOTAL(109,L72),
IF(SUBTOTAL(109,L70)&gt;0,SUBTOTAL(109,L70),
IF(SUBTOTAL(109,L69)&gt;0,SUBTOTAL(109,L69),
IF(SUBTOTAL(109,L68)&gt;0,SUBTOTAL(109,L68),
IF(SUBTOTAL(109,L67)&gt;0,SUBTOTAL(109,L67),
IF(SUBTOTAL(109,L66)&gt;0,SUBTOTAL(109,L66),
IF(SUBTOTAL(109,L65)&gt;0,SUBTOTAL(109,L65),
IF(SUBTOTAL(109,L64)&gt;0,SUBTOTAL(109,L64),
IF(SUBTOTAL(109,L63)&gt;0,SUBTOTAL(109,L63),
))))))))))))))))))),1,0)</f>
        <v>1</v>
      </c>
      <c r="B82" s="983"/>
      <c r="C82" s="983">
        <f>IF(Расходы_2[[#This Row],[КОСГУ]]&gt;=
IF(SUBTOTAL(109,N81)&gt;0,SUBTOTAL(109,N81),
IF(SUBTOTAL(109,N80)&gt;0,SUBTOTAL(109,N80),
IF(SUBTOTAL(109,N79)&gt;0,SUBTOTAL(109,N79),
IF(SUBTOTAL(109,N78)&gt;0,SUBTOTAL(109,N78),
IF(SUBTOTAL(109,N77)&gt;0,SUBTOTAL(109,N77),
IF(SUBTOTAL(109,N76)&gt;0,SUBTOTAL(109,N76),
IF(SUBTOTAL(109,N75)&gt;0,SUBTOTAL(109,N75),
IF(SUBTOTAL(109,N74)&gt;0,SUBTOTAL(109,N74),
IF(SUBTOTAL(109,N73)&gt;0,SUBTOTAL(109,N73),
IF(SUBTOTAL(109,N72)&gt;0,SUBTOTAL(109,N72),
IF(SUBTOTAL(109,N71)&gt;0,SUBTOTAL(109,N72),
IF(SUBTOTAL(109,N70)&gt;0,SUBTOTAL(109,N70),
IF(SUBTOTAL(109,N69)&gt;0,SUBTOTAL(109,N69),
IF(SUBTOTAL(109,N68)&gt;0,SUBTOTAL(109,N68),
IF(SUBTOTAL(109,N67)&gt;0,SUBTOTAL(109,N67),
IF(SUBTOTAL(109,N66)&gt;0,SUBTOTAL(109,N66),
IF(SUBTOTAL(109,N65)&gt;0,SUBTOTAL(109,N65),
IF(SUBTOTAL(109,N64)&gt;0,SUBTOTAL(109,N64),
IF(SUBTOTAL(109,N63)&gt;0,SUBTOTAL(109,N63),
))))))))))))))))))),1,0)</f>
        <v>1</v>
      </c>
      <c r="D82" s="983">
        <f>IF(Расходы_2[[#This Row],[КВР]]&gt;
IF(SUBTOTAL(109,L81)&gt;0,SUBTOTAL(109,L81),
IF(SUBTOTAL(109,L80)&gt;0,SUBTOTAL(109,L80),
IF(SUBTOTAL(109,L79)&gt;0,SUBTOTAL(109,L79),
IF(SUBTOTAL(109,L78)&gt;0,SUBTOTAL(109,L78),
IF(SUBTOTAL(109,L77)&gt;0,SUBTOTAL(109,L77),
IF(SUBTOTAL(109,L76)&gt;0,SUBTOTAL(109,L76),
IF(SUBTOTAL(109,L75)&gt;0,SUBTOTAL(109,L75),
IF(SUBTOTAL(109,L74)&gt;0,SUBTOTAL(109,L74),
IF(SUBTOTAL(109,L73)&gt;0,SUBTOTAL(109,L73),
IF(SUBTOTAL(109,L72)&gt;0,SUBTOTAL(109,L72),
IF(SUBTOTAL(109,L71)&gt;0,SUBTOTAL(109,L72),
IF(SUBTOTAL(109,L70)&gt;0,SUBTOTAL(109,L70),
IF(SUBTOTAL(109,L69)&gt;0,SUBTOTAL(109,L69),
IF(SUBTOTAL(109,L68)&gt;0,SUBTOTAL(109,L68),
IF(SUBTOTAL(109,L67)&gt;0,SUBTOTAL(109,L67),
IF(SUBTOTAL(109,L66)&gt;0,SUBTOTAL(109,L66),
IF(SUBTOTAL(109,L65)&gt;0,SUBTOTAL(109,L65),
IF(SUBTOTAL(109,L64)&gt;0,SUBTOTAL(109,L64),
IF(SUBTOTAL(109,L63)&gt;0,SUBTOTAL(109,L63),
))))))))))))))))))),1,0)</f>
        <v>0</v>
      </c>
      <c r="E82" s="983">
        <f>IF(AND(Расходы_2[[#This Row],[КЦ]]="14561Э",M81="14561Т"),1,
IF(Расходы_2[[#This Row],[КЦ]]&gt;
IF(SUBTOTAL(109,M81)&gt;0,SUBTOTAL(109,M81),
IF(SUBTOTAL(109,M80)&gt;0,SUBTOTAL(109,M80),
IF(SUBTOTAL(109,M79)&gt;0,SUBTOTAL(109,M79),
IF(SUBTOTAL(109,M78)&gt;0,SUBTOTAL(109,M78),
IF(SUBTOTAL(109,M77)&gt;0,SUBTOTAL(109,M77),
IF(SUBTOTAL(109,M76)&gt;0,SUBTOTAL(109,M76))))))),1,0))</f>
        <v>0</v>
      </c>
      <c r="F82" s="983">
        <f>IF(Расходы_2[[#This Row],[КОСГУ]]&gt;
IF(SUBTOTAL(109,N81)&gt;0,SUBTOTAL(109,N81),
IF(SUBTOTAL(109,N80)&gt;0,SUBTOTAL(109,N80),
IF(SUBTOTAL(109,N79)&gt;0,SUBTOTAL(109,N79),
IF(SUBTOTAL(109,N78)&gt;0,SUBTOTAL(109,N78),
IF(SUBTOTAL(109,N77)&gt;0,SUBTOTAL(109,N77),
IF(SUBTOTAL(109,N76)&gt;0,SUBTOTAL(109,N76),
IF(SUBTOTAL(109,N75)&gt;0,SUBTOTAL(109,N75),
IF(SUBTOTAL(109,N74)&gt;0,SUBTOTAL(109,N74),
IF(SUBTOTAL(109,N73)&gt;0,SUBTOTAL(109,N73),
IF(SUBTOTAL(109,N72)&gt;0,SUBTOTAL(109,N72),
IF(SUBTOTAL(109,N71)&gt;0,SUBTOTAL(109,N72),
IF(SUBTOTAL(109,N70)&gt;0,SUBTOTAL(109,N70),
IF(SUBTOTAL(109,N69)&gt;0,SUBTOTAL(109,N69),
IF(SUBTOTAL(109,N68)&gt;0,SUBTOTAL(109,N68),
IF(SUBTOTAL(109,N67)&gt;0,SUBTOTAL(109,N67),
IF(SUBTOTAL(109,N66)&gt;0,SUBTOTAL(109,N66),
IF(SUBTOTAL(109,N65)&gt;0,SUBTOTAL(109,N65),
IF(SUBTOTAL(109,N64)&gt;0,SUBTOTAL(109,N64),
IF(SUBTOTAL(109,N63)&gt;0,SUBTOTAL(109,N63),
))))))))))))))))))),1,0)</f>
        <v>0</v>
      </c>
      <c r="G82" s="983" t="e">
        <f ca="1">_xlfn.AGGREGATE(9,5,$D$69:D82)</f>
        <v>#NAME?</v>
      </c>
      <c r="H82" s="983" t="e">
        <f ca="1">_xlfn.AGGREGATE(9,5,$E$69:E82)</f>
        <v>#NAME?</v>
      </c>
      <c r="I82" s="983" t="e">
        <f ca="1">_xlfn.AGGREGATE(9,5,$F$69:F82)</f>
        <v>#NAME?</v>
      </c>
      <c r="J82" s="964" t="str">
        <f>IF(SUM(Расходы_2[[#This Row],[2 025]:[2 027]])=0,"000",".")</f>
        <v>000</v>
      </c>
      <c r="K82" s="965">
        <v>2</v>
      </c>
      <c r="L82" s="908">
        <v>244</v>
      </c>
      <c r="M82" s="966"/>
      <c r="N82" s="908">
        <v>224</v>
      </c>
      <c r="O82" s="967"/>
      <c r="P82" s="967"/>
      <c r="Q82" s="967"/>
      <c r="R82" s="1239" t="s">
        <v>240</v>
      </c>
      <c r="S82" s="1128"/>
      <c r="Y82" s="959"/>
      <c r="Z82" s="959"/>
      <c r="AA82" s="959"/>
      <c r="AB82" s="51"/>
      <c r="AC82" s="51"/>
      <c r="AD82" s="51"/>
      <c r="AE82" s="51">
        <f>COUNT(102,$AF$69:AF82)-1</f>
        <v>14</v>
      </c>
      <c r="AF82" s="50">
        <v>1</v>
      </c>
    </row>
    <row r="83" spans="1:32" ht="20.25" customHeight="1">
      <c r="A83" s="983">
        <f>IF(Расходы_2[[#This Row],[КВР]]&gt;=
IF(SUBTOTAL(109,L82)&gt;0,SUBTOTAL(109,L82),
IF(SUBTOTAL(109,L81)&gt;0,SUBTOTAL(109,L81),
IF(SUBTOTAL(109,L80)&gt;0,SUBTOTAL(109,L80),
IF(SUBTOTAL(109,L79)&gt;0,SUBTOTAL(109,L79),
IF(SUBTOTAL(109,L78)&gt;0,SUBTOTAL(109,L78),
IF(SUBTOTAL(109,L77)&gt;0,SUBTOTAL(109,L77),
IF(SUBTOTAL(109,L76)&gt;0,SUBTOTAL(109,L76),
IF(SUBTOTAL(109,L75)&gt;0,SUBTOTAL(109,L75),
IF(SUBTOTAL(109,L74)&gt;0,SUBTOTAL(109,L74),
IF(SUBTOTAL(109,L73)&gt;0,SUBTOTAL(109,L73),
IF(SUBTOTAL(109,L72)&gt;0,SUBTOTAL(109,L73),
IF(SUBTOTAL(109,L71)&gt;0,SUBTOTAL(109,L71),
IF(SUBTOTAL(109,L70)&gt;0,SUBTOTAL(109,L70),
IF(SUBTOTAL(109,L69)&gt;0,SUBTOTAL(109,L69),
IF(SUBTOTAL(109,L68)&gt;0,SUBTOTAL(109,L68),
IF(SUBTOTAL(109,L67)&gt;0,SUBTOTAL(109,L67),
IF(SUBTOTAL(109,L66)&gt;0,SUBTOTAL(109,L66),
IF(SUBTOTAL(109,L65)&gt;0,SUBTOTAL(109,L65),
IF(SUBTOTAL(109,L64)&gt;0,SUBTOTAL(109,L64),
))))))))))))))))))),1,0)</f>
        <v>1</v>
      </c>
      <c r="B83" s="983"/>
      <c r="C83" s="983">
        <f>IF(Расходы_2[[#This Row],[КОСГУ]]&gt;=
IF(SUBTOTAL(109,N82)&gt;0,SUBTOTAL(109,N82),
IF(SUBTOTAL(109,N81)&gt;0,SUBTOTAL(109,N81),
IF(SUBTOTAL(109,N80)&gt;0,SUBTOTAL(109,N80),
IF(SUBTOTAL(109,N79)&gt;0,SUBTOTAL(109,N79),
IF(SUBTOTAL(109,N78)&gt;0,SUBTOTAL(109,N78),
IF(SUBTOTAL(109,N77)&gt;0,SUBTOTAL(109,N77),
IF(SUBTOTAL(109,N76)&gt;0,SUBTOTAL(109,N76),
IF(SUBTOTAL(109,N75)&gt;0,SUBTOTAL(109,N75),
IF(SUBTOTAL(109,N74)&gt;0,SUBTOTAL(109,N74),
IF(SUBTOTAL(109,N73)&gt;0,SUBTOTAL(109,N73),
IF(SUBTOTAL(109,N72)&gt;0,SUBTOTAL(109,N73),
IF(SUBTOTAL(109,N71)&gt;0,SUBTOTAL(109,N71),
IF(SUBTOTAL(109,N70)&gt;0,SUBTOTAL(109,N70),
IF(SUBTOTAL(109,N69)&gt;0,SUBTOTAL(109,N69),
IF(SUBTOTAL(109,N68)&gt;0,SUBTOTAL(109,N68),
IF(SUBTOTAL(109,N67)&gt;0,SUBTOTAL(109,N67),
IF(SUBTOTAL(109,N66)&gt;0,SUBTOTAL(109,N66),
IF(SUBTOTAL(109,N65)&gt;0,SUBTOTAL(109,N65),
IF(SUBTOTAL(109,N64)&gt;0,SUBTOTAL(109,N64),
))))))))))))))))))),1,0)</f>
        <v>1</v>
      </c>
      <c r="D83" s="983">
        <f>IF(Расходы_2[[#This Row],[КВР]]&gt;
IF(SUBTOTAL(109,L82)&gt;0,SUBTOTAL(109,L82),
IF(SUBTOTAL(109,L81)&gt;0,SUBTOTAL(109,L81),
IF(SUBTOTAL(109,L80)&gt;0,SUBTOTAL(109,L80),
IF(SUBTOTAL(109,L79)&gt;0,SUBTOTAL(109,L79),
IF(SUBTOTAL(109,L78)&gt;0,SUBTOTAL(109,L78),
IF(SUBTOTAL(109,L77)&gt;0,SUBTOTAL(109,L77),
IF(SUBTOTAL(109,L76)&gt;0,SUBTOTAL(109,L76),
IF(SUBTOTAL(109,L75)&gt;0,SUBTOTAL(109,L75),
IF(SUBTOTAL(109,L74)&gt;0,SUBTOTAL(109,L74),
IF(SUBTOTAL(109,L73)&gt;0,SUBTOTAL(109,L73),
IF(SUBTOTAL(109,L72)&gt;0,SUBTOTAL(109,L73),
IF(SUBTOTAL(109,L71)&gt;0,SUBTOTAL(109,L71),
IF(SUBTOTAL(109,L70)&gt;0,SUBTOTAL(109,L70),
IF(SUBTOTAL(109,L69)&gt;0,SUBTOTAL(109,L69),
IF(SUBTOTAL(109,L68)&gt;0,SUBTOTAL(109,L68),
IF(SUBTOTAL(109,L67)&gt;0,SUBTOTAL(109,L67),
IF(SUBTOTAL(109,L66)&gt;0,SUBTOTAL(109,L66),
IF(SUBTOTAL(109,L65)&gt;0,SUBTOTAL(109,L65),
IF(SUBTOTAL(109,L64)&gt;0,SUBTOTAL(109,L64),
))))))))))))))))))),1,0)</f>
        <v>0</v>
      </c>
      <c r="E83" s="983">
        <f>IF(AND(Расходы_2[[#This Row],[КЦ]]="14561Э",M82="14561Т"),1,
IF(Расходы_2[[#This Row],[КЦ]]&gt;
IF(SUBTOTAL(109,M82)&gt;0,SUBTOTAL(109,M82),
IF(SUBTOTAL(109,M81)&gt;0,SUBTOTAL(109,M81),
IF(SUBTOTAL(109,M80)&gt;0,SUBTOTAL(109,M80),
IF(SUBTOTAL(109,M79)&gt;0,SUBTOTAL(109,M79),
IF(SUBTOTAL(109,M78)&gt;0,SUBTOTAL(109,M78),
IF(SUBTOTAL(109,M77)&gt;0,SUBTOTAL(109,M77))))))),1,0))</f>
        <v>0</v>
      </c>
      <c r="F83" s="983">
        <f>IF(Расходы_2[[#This Row],[КОСГУ]]&gt;
IF(SUBTOTAL(109,N82)&gt;0,SUBTOTAL(109,N82),
IF(SUBTOTAL(109,N81)&gt;0,SUBTOTAL(109,N81),
IF(SUBTOTAL(109,N80)&gt;0,SUBTOTAL(109,N80),
IF(SUBTOTAL(109,N79)&gt;0,SUBTOTAL(109,N79),
IF(SUBTOTAL(109,N78)&gt;0,SUBTOTAL(109,N78),
IF(SUBTOTAL(109,N77)&gt;0,SUBTOTAL(109,N77),
IF(SUBTOTAL(109,N76)&gt;0,SUBTOTAL(109,N76),
IF(SUBTOTAL(109,N75)&gt;0,SUBTOTAL(109,N75),
IF(SUBTOTAL(109,N74)&gt;0,SUBTOTAL(109,N74),
IF(SUBTOTAL(109,N73)&gt;0,SUBTOTAL(109,N73),
IF(SUBTOTAL(109,N72)&gt;0,SUBTOTAL(109,N73),
IF(SUBTOTAL(109,N71)&gt;0,SUBTOTAL(109,N71),
IF(SUBTOTAL(109,N70)&gt;0,SUBTOTAL(109,N70),
IF(SUBTOTAL(109,N69)&gt;0,SUBTOTAL(109,N69),
IF(SUBTOTAL(109,N68)&gt;0,SUBTOTAL(109,N68),
IF(SUBTOTAL(109,N67)&gt;0,SUBTOTAL(109,N67),
IF(SUBTOTAL(109,N66)&gt;0,SUBTOTAL(109,N66),
IF(SUBTOTAL(109,N65)&gt;0,SUBTOTAL(109,N65),
IF(SUBTOTAL(109,N64)&gt;0,SUBTOTAL(109,N64),
))))))))))))))))))),1,0)</f>
        <v>1</v>
      </c>
      <c r="G83" s="983" t="e">
        <f ca="1">_xlfn.AGGREGATE(9,5,$D$69:D83)</f>
        <v>#NAME?</v>
      </c>
      <c r="H83" s="983" t="e">
        <f ca="1">_xlfn.AGGREGATE(9,5,$E$69:E83)</f>
        <v>#NAME?</v>
      </c>
      <c r="I83" s="983" t="e">
        <f ca="1">_xlfn.AGGREGATE(9,5,$F$69:F83)</f>
        <v>#NAME?</v>
      </c>
      <c r="J83" s="964" t="str">
        <f>IF(SUM(Расходы_2[[#This Row],[2 025]:[2 027]])=0,"000",".")</f>
        <v>.</v>
      </c>
      <c r="K83" s="965">
        <v>2</v>
      </c>
      <c r="L83" s="908">
        <v>244</v>
      </c>
      <c r="M83" s="966"/>
      <c r="N83" s="908">
        <v>225</v>
      </c>
      <c r="O83" s="1444">
        <v>2500000</v>
      </c>
      <c r="P83" s="961"/>
      <c r="Q83" s="961"/>
      <c r="R83" s="1445" t="s">
        <v>1129</v>
      </c>
      <c r="S83" s="1128"/>
      <c r="Y83" s="959"/>
      <c r="Z83" s="959"/>
      <c r="AA83" s="960"/>
      <c r="AB83" s="51"/>
      <c r="AC83" s="51"/>
      <c r="AD83" s="51"/>
      <c r="AE83" s="51">
        <f>COUNT(102,$AF$69:AF83)-1</f>
        <v>15</v>
      </c>
      <c r="AF83" s="50">
        <v>1</v>
      </c>
    </row>
    <row r="84" spans="1:32" ht="20.25" customHeight="1">
      <c r="A84" s="983">
        <f>IF(Расходы_2[[#This Row],[КВР]]&gt;=
IF(SUBTOTAL(109,L83)&gt;0,SUBTOTAL(109,L83),
IF(SUBTOTAL(109,L82)&gt;0,SUBTOTAL(109,L82),
IF(SUBTOTAL(109,L81)&gt;0,SUBTOTAL(109,L81),
IF(SUBTOTAL(109,L80)&gt;0,SUBTOTAL(109,L80),
IF(SUBTOTAL(109,L79)&gt;0,SUBTOTAL(109,L79),
IF(SUBTOTAL(109,L78)&gt;0,SUBTOTAL(109,L78),
IF(SUBTOTAL(109,L77)&gt;0,SUBTOTAL(109,L77),
IF(SUBTOTAL(109,L76)&gt;0,SUBTOTAL(109,L76),
IF(SUBTOTAL(109,L75)&gt;0,SUBTOTAL(109,L75),
IF(SUBTOTAL(109,L74)&gt;0,SUBTOTAL(109,L74),
IF(SUBTOTAL(109,L73)&gt;0,SUBTOTAL(109,L74),
IF(SUBTOTAL(109,L72)&gt;0,SUBTOTAL(109,L72),
IF(SUBTOTAL(109,L71)&gt;0,SUBTOTAL(109,L71),
IF(SUBTOTAL(109,L70)&gt;0,SUBTOTAL(109,L70),
IF(SUBTOTAL(109,L69)&gt;0,SUBTOTAL(109,L69),
IF(SUBTOTAL(109,L68)&gt;0,SUBTOTAL(109,L68),
IF(SUBTOTAL(109,L67)&gt;0,SUBTOTAL(109,L67),
IF(SUBTOTAL(109,L66)&gt;0,SUBTOTAL(109,L66),
IF(SUBTOTAL(109,L65)&gt;0,SUBTOTAL(109,L65),
))))))))))))))))))),1,0)</f>
        <v>1</v>
      </c>
      <c r="B84" s="983"/>
      <c r="C84" s="983">
        <f>IF(Расходы_2[[#This Row],[КОСГУ]]&gt;=
IF(SUBTOTAL(109,N83)&gt;0,SUBTOTAL(109,N83),
IF(SUBTOTAL(109,N82)&gt;0,SUBTOTAL(109,N82),
IF(SUBTOTAL(109,N81)&gt;0,SUBTOTAL(109,N81),
IF(SUBTOTAL(109,N80)&gt;0,SUBTOTAL(109,N80),
IF(SUBTOTAL(109,N79)&gt;0,SUBTOTAL(109,N79),
IF(SUBTOTAL(109,N78)&gt;0,SUBTOTAL(109,N78),
IF(SUBTOTAL(109,N77)&gt;0,SUBTOTAL(109,N77),
IF(SUBTOTAL(109,N76)&gt;0,SUBTOTAL(109,N76),
IF(SUBTOTAL(109,N75)&gt;0,SUBTOTAL(109,N75),
IF(SUBTOTAL(109,N74)&gt;0,SUBTOTAL(109,N74),
IF(SUBTOTAL(109,N73)&gt;0,SUBTOTAL(109,N74),
IF(SUBTOTAL(109,N72)&gt;0,SUBTOTAL(109,N72),
IF(SUBTOTAL(109,N71)&gt;0,SUBTOTAL(109,N71),
IF(SUBTOTAL(109,N70)&gt;0,SUBTOTAL(109,N70),
IF(SUBTOTAL(109,N69)&gt;0,SUBTOTAL(109,N69),
IF(SUBTOTAL(109,N68)&gt;0,SUBTOTAL(109,N68),
IF(SUBTOTAL(109,N67)&gt;0,SUBTOTAL(109,N67),
IF(SUBTOTAL(109,N66)&gt;0,SUBTOTAL(109,N66),
IF(SUBTOTAL(109,N65)&gt;0,SUBTOTAL(109,N65),
))))))))))))))))))),1,0)</f>
        <v>1</v>
      </c>
      <c r="D84" s="983">
        <f>IF(Расходы_2[[#This Row],[КВР]]&gt;
IF(SUBTOTAL(109,L83)&gt;0,SUBTOTAL(109,L83),
IF(SUBTOTAL(109,L82)&gt;0,SUBTOTAL(109,L82),
IF(SUBTOTAL(109,L81)&gt;0,SUBTOTAL(109,L81),
IF(SUBTOTAL(109,L80)&gt;0,SUBTOTAL(109,L80),
IF(SUBTOTAL(109,L79)&gt;0,SUBTOTAL(109,L79),
IF(SUBTOTAL(109,L78)&gt;0,SUBTOTAL(109,L78),
IF(SUBTOTAL(109,L77)&gt;0,SUBTOTAL(109,L77),
IF(SUBTOTAL(109,L76)&gt;0,SUBTOTAL(109,L76),
IF(SUBTOTAL(109,L75)&gt;0,SUBTOTAL(109,L75),
IF(SUBTOTAL(109,L74)&gt;0,SUBTOTAL(109,L74),
IF(SUBTOTAL(109,L73)&gt;0,SUBTOTAL(109,L74),
IF(SUBTOTAL(109,L72)&gt;0,SUBTOTAL(109,L72),
IF(SUBTOTAL(109,L71)&gt;0,SUBTOTAL(109,L71),
IF(SUBTOTAL(109,L70)&gt;0,SUBTOTAL(109,L70),
IF(SUBTOTAL(109,L69)&gt;0,SUBTOTAL(109,L69),
IF(SUBTOTAL(109,L68)&gt;0,SUBTOTAL(109,L68),
IF(SUBTOTAL(109,L67)&gt;0,SUBTOTAL(109,L67),
IF(SUBTOTAL(109,L66)&gt;0,SUBTOTAL(109,L66),
IF(SUBTOTAL(109,L65)&gt;0,SUBTOTAL(109,L65),
))))))))))))))))))),1,0)</f>
        <v>0</v>
      </c>
      <c r="E84" s="983">
        <f>IF(AND(Расходы_2[[#This Row],[КЦ]]="14561Э",M83="14561Т"),1,
IF(Расходы_2[[#This Row],[КЦ]]&gt;
IF(SUBTOTAL(109,M83)&gt;0,SUBTOTAL(109,M83),
IF(SUBTOTAL(109,M82)&gt;0,SUBTOTAL(109,M82),
IF(SUBTOTAL(109,M81)&gt;0,SUBTOTAL(109,M81),
IF(SUBTOTAL(109,M80)&gt;0,SUBTOTAL(109,M80),
IF(SUBTOTAL(109,M79)&gt;0,SUBTOTAL(109,M79),
IF(SUBTOTAL(109,M78)&gt;0,SUBTOTAL(109,M78))))))),1,0))</f>
        <v>0</v>
      </c>
      <c r="F84" s="983">
        <f>IF(Расходы_2[[#This Row],[КОСГУ]]&gt;
IF(SUBTOTAL(109,N83)&gt;0,SUBTOTAL(109,N83),
IF(SUBTOTAL(109,N82)&gt;0,SUBTOTAL(109,N82),
IF(SUBTOTAL(109,N81)&gt;0,SUBTOTAL(109,N81),
IF(SUBTOTAL(109,N80)&gt;0,SUBTOTAL(109,N80),
IF(SUBTOTAL(109,N79)&gt;0,SUBTOTAL(109,N79),
IF(SUBTOTAL(109,N78)&gt;0,SUBTOTAL(109,N78),
IF(SUBTOTAL(109,N77)&gt;0,SUBTOTAL(109,N77),
IF(SUBTOTAL(109,N76)&gt;0,SUBTOTAL(109,N76),
IF(SUBTOTAL(109,N75)&gt;0,SUBTOTAL(109,N75),
IF(SUBTOTAL(109,N74)&gt;0,SUBTOTAL(109,N74),
IF(SUBTOTAL(109,N73)&gt;0,SUBTOTAL(109,N74),
IF(SUBTOTAL(109,N72)&gt;0,SUBTOTAL(109,N72),
IF(SUBTOTAL(109,N71)&gt;0,SUBTOTAL(109,N71),
IF(SUBTOTAL(109,N70)&gt;0,SUBTOTAL(109,N70),
IF(SUBTOTAL(109,N69)&gt;0,SUBTOTAL(109,N69),
IF(SUBTOTAL(109,N68)&gt;0,SUBTOTAL(109,N68),
IF(SUBTOTAL(109,N67)&gt;0,SUBTOTAL(109,N67),
IF(SUBTOTAL(109,N66)&gt;0,SUBTOTAL(109,N66),
IF(SUBTOTAL(109,N65)&gt;0,SUBTOTAL(109,N65),
))))))))))))))))))),1,0)</f>
        <v>1</v>
      </c>
      <c r="G84" s="983" t="e">
        <f ca="1">_xlfn.AGGREGATE(9,5,$D$69:D84)</f>
        <v>#NAME?</v>
      </c>
      <c r="H84" s="983" t="e">
        <f ca="1">_xlfn.AGGREGATE(9,5,$E$69:E84)</f>
        <v>#NAME?</v>
      </c>
      <c r="I84" s="983" t="e">
        <f ca="1">_xlfn.AGGREGATE(9,5,$F$69:F84)</f>
        <v>#NAME?</v>
      </c>
      <c r="J84" s="964" t="str">
        <f>IF(SUM(Расходы_2[[#This Row],[2 025]:[2 027]])=0,"000",".")</f>
        <v>000</v>
      </c>
      <c r="K84" s="965">
        <v>2</v>
      </c>
      <c r="L84" s="908">
        <v>244</v>
      </c>
      <c r="M84" s="966"/>
      <c r="N84" s="908">
        <v>226</v>
      </c>
      <c r="O84" s="961"/>
      <c r="P84" s="961"/>
      <c r="Q84" s="961"/>
      <c r="R84" s="1239" t="s">
        <v>243</v>
      </c>
      <c r="S84" s="1128"/>
      <c r="Y84" s="959"/>
      <c r="Z84" s="959"/>
      <c r="AA84" s="51"/>
      <c r="AB84" s="51"/>
      <c r="AC84" s="51"/>
      <c r="AD84" s="51"/>
      <c r="AE84" s="51">
        <f>COUNT(102,$AF$69:AF84)-1</f>
        <v>16</v>
      </c>
      <c r="AF84" s="50">
        <v>1</v>
      </c>
    </row>
    <row r="85" spans="1:32" ht="20.25" customHeight="1">
      <c r="A85" s="983">
        <f>IF(Расходы_2[[#This Row],[КВР]]&gt;=
IF(SUBTOTAL(109,L84)&gt;0,SUBTOTAL(109,L84),
IF(SUBTOTAL(109,L83)&gt;0,SUBTOTAL(109,L83),
IF(SUBTOTAL(109,L82)&gt;0,SUBTOTAL(109,L82),
IF(SUBTOTAL(109,L81)&gt;0,SUBTOTAL(109,L81),
IF(SUBTOTAL(109,L80)&gt;0,SUBTOTAL(109,L80),
IF(SUBTOTAL(109,L79)&gt;0,SUBTOTAL(109,L79),
IF(SUBTOTAL(109,L78)&gt;0,SUBTOTAL(109,L78),
IF(SUBTOTAL(109,L77)&gt;0,SUBTOTAL(109,L77),
IF(SUBTOTAL(109,L76)&gt;0,SUBTOTAL(109,L76),
IF(SUBTOTAL(109,L75)&gt;0,SUBTOTAL(109,L75),
IF(SUBTOTAL(109,L74)&gt;0,SUBTOTAL(109,L75),
IF(SUBTOTAL(109,L73)&gt;0,SUBTOTAL(109,L73),
IF(SUBTOTAL(109,L72)&gt;0,SUBTOTAL(109,L72),
IF(SUBTOTAL(109,L71)&gt;0,SUBTOTAL(109,L71),
IF(SUBTOTAL(109,L70)&gt;0,SUBTOTAL(109,L70),
IF(SUBTOTAL(109,L69)&gt;0,SUBTOTAL(109,L69),
IF(SUBTOTAL(109,L68)&gt;0,SUBTOTAL(109,L68),
IF(SUBTOTAL(109,L67)&gt;0,SUBTOTAL(109,L67),
IF(SUBTOTAL(109,L66)&gt;0,SUBTOTAL(109,L66),
))))))))))))))))))),1,0)</f>
        <v>1</v>
      </c>
      <c r="B85" s="983"/>
      <c r="C85" s="983">
        <f>IF(Расходы_2[[#This Row],[КОСГУ]]&gt;=
IF(SUBTOTAL(109,N84)&gt;0,SUBTOTAL(109,N84),
IF(SUBTOTAL(109,N83)&gt;0,SUBTOTAL(109,N83),
IF(SUBTOTAL(109,N82)&gt;0,SUBTOTAL(109,N82),
IF(SUBTOTAL(109,N81)&gt;0,SUBTOTAL(109,N81),
IF(SUBTOTAL(109,N80)&gt;0,SUBTOTAL(109,N80),
IF(SUBTOTAL(109,N79)&gt;0,SUBTOTAL(109,N79),
IF(SUBTOTAL(109,N78)&gt;0,SUBTOTAL(109,N78),
IF(SUBTOTAL(109,N77)&gt;0,SUBTOTAL(109,N77),
IF(SUBTOTAL(109,N76)&gt;0,SUBTOTAL(109,N76),
IF(SUBTOTAL(109,N75)&gt;0,SUBTOTAL(109,N75),
IF(SUBTOTAL(109,N74)&gt;0,SUBTOTAL(109,N75),
IF(SUBTOTAL(109,N73)&gt;0,SUBTOTAL(109,N73),
IF(SUBTOTAL(109,N72)&gt;0,SUBTOTAL(109,N72),
IF(SUBTOTAL(109,N71)&gt;0,SUBTOTAL(109,N71),
IF(SUBTOTAL(109,N70)&gt;0,SUBTOTAL(109,N70),
IF(SUBTOTAL(109,N69)&gt;0,SUBTOTAL(109,N69),
IF(SUBTOTAL(109,N68)&gt;0,SUBTOTAL(109,N68),
IF(SUBTOTAL(109,N67)&gt;0,SUBTOTAL(109,N67),
IF(SUBTOTAL(109,N66)&gt;0,SUBTOTAL(109,N66),
))))))))))))))))))),1,0)</f>
        <v>1</v>
      </c>
      <c r="D85" s="983">
        <f>IF(Расходы_2[[#This Row],[КВР]]&gt;
IF(SUBTOTAL(109,L84)&gt;0,SUBTOTAL(109,L84),
IF(SUBTOTAL(109,L83)&gt;0,SUBTOTAL(109,L83),
IF(SUBTOTAL(109,L82)&gt;0,SUBTOTAL(109,L82),
IF(SUBTOTAL(109,L81)&gt;0,SUBTOTAL(109,L81),
IF(SUBTOTAL(109,L80)&gt;0,SUBTOTAL(109,L80),
IF(SUBTOTAL(109,L79)&gt;0,SUBTOTAL(109,L79),
IF(SUBTOTAL(109,L78)&gt;0,SUBTOTAL(109,L78),
IF(SUBTOTAL(109,L77)&gt;0,SUBTOTAL(109,L77),
IF(SUBTOTAL(109,L76)&gt;0,SUBTOTAL(109,L76),
IF(SUBTOTAL(109,L75)&gt;0,SUBTOTAL(109,L75),
IF(SUBTOTAL(109,L74)&gt;0,SUBTOTAL(109,L75),
IF(SUBTOTAL(109,L73)&gt;0,SUBTOTAL(109,L73),
IF(SUBTOTAL(109,L72)&gt;0,SUBTOTAL(109,L72),
IF(SUBTOTAL(109,L71)&gt;0,SUBTOTAL(109,L71),
IF(SUBTOTAL(109,L70)&gt;0,SUBTOTAL(109,L70),
IF(SUBTOTAL(109,L69)&gt;0,SUBTOTAL(109,L69),
IF(SUBTOTAL(109,L68)&gt;0,SUBTOTAL(109,L68),
IF(SUBTOTAL(109,L67)&gt;0,SUBTOTAL(109,L67),
IF(SUBTOTAL(109,L66)&gt;0,SUBTOTAL(109,L66),
))))))))))))))))))),1,0)</f>
        <v>0</v>
      </c>
      <c r="E85" s="983">
        <f>IF(AND(Расходы_2[[#This Row],[КЦ]]="14561Э",M84="14561Т"),1,
IF(Расходы_2[[#This Row],[КЦ]]&gt;
IF(SUBTOTAL(109,M84)&gt;0,SUBTOTAL(109,M84),
IF(SUBTOTAL(109,M83)&gt;0,SUBTOTAL(109,M83),
IF(SUBTOTAL(109,M82)&gt;0,SUBTOTAL(109,M82),
IF(SUBTOTAL(109,M81)&gt;0,SUBTOTAL(109,M81),
IF(SUBTOTAL(109,M80)&gt;0,SUBTOTAL(109,M80),
IF(SUBTOTAL(109,M79)&gt;0,SUBTOTAL(109,M79))))))),1,0))</f>
        <v>0</v>
      </c>
      <c r="F85" s="983">
        <f>IF(Расходы_2[[#This Row],[КОСГУ]]&gt;
IF(SUBTOTAL(109,N84)&gt;0,SUBTOTAL(109,N84),
IF(SUBTOTAL(109,N83)&gt;0,SUBTOTAL(109,N83),
IF(SUBTOTAL(109,N82)&gt;0,SUBTOTAL(109,N82),
IF(SUBTOTAL(109,N81)&gt;0,SUBTOTAL(109,N81),
IF(SUBTOTAL(109,N80)&gt;0,SUBTOTAL(109,N80),
IF(SUBTOTAL(109,N79)&gt;0,SUBTOTAL(109,N79),
IF(SUBTOTAL(109,N78)&gt;0,SUBTOTAL(109,N78),
IF(SUBTOTAL(109,N77)&gt;0,SUBTOTAL(109,N77),
IF(SUBTOTAL(109,N76)&gt;0,SUBTOTAL(109,N76),
IF(SUBTOTAL(109,N75)&gt;0,SUBTOTAL(109,N75),
IF(SUBTOTAL(109,N74)&gt;0,SUBTOTAL(109,N75),
IF(SUBTOTAL(109,N73)&gt;0,SUBTOTAL(109,N73),
IF(SUBTOTAL(109,N72)&gt;0,SUBTOTAL(109,N72),
IF(SUBTOTAL(109,N71)&gt;0,SUBTOTAL(109,N71),
IF(SUBTOTAL(109,N70)&gt;0,SUBTOTAL(109,N70),
IF(SUBTOTAL(109,N69)&gt;0,SUBTOTAL(109,N69),
IF(SUBTOTAL(109,N68)&gt;0,SUBTOTAL(109,N68),
IF(SUBTOTAL(109,N67)&gt;0,SUBTOTAL(109,N67),
IF(SUBTOTAL(109,N66)&gt;0,SUBTOTAL(109,N66),
))))))))))))))))))),1,0)</f>
        <v>0</v>
      </c>
      <c r="G85" s="983" t="e">
        <f ca="1">_xlfn.AGGREGATE(9,5,$D$69:D85)</f>
        <v>#NAME?</v>
      </c>
      <c r="H85" s="983" t="e">
        <f ca="1">_xlfn.AGGREGATE(9,5,$E$69:E85)</f>
        <v>#NAME?</v>
      </c>
      <c r="I85" s="983" t="e">
        <f ca="1">_xlfn.AGGREGATE(9,5,$F$69:F85)</f>
        <v>#NAME?</v>
      </c>
      <c r="J85" s="964" t="str">
        <f>IF(SUM(Расходы_2[[#This Row],[2 025]:[2 027]])=0,"000",".")</f>
        <v>000</v>
      </c>
      <c r="K85" s="965">
        <v>2</v>
      </c>
      <c r="L85" s="908">
        <v>244</v>
      </c>
      <c r="M85" s="966"/>
      <c r="N85" s="908">
        <v>226</v>
      </c>
      <c r="O85" s="961"/>
      <c r="P85" s="961"/>
      <c r="Q85" s="961"/>
      <c r="R85" s="1239" t="s">
        <v>241</v>
      </c>
      <c r="S85" s="1128"/>
      <c r="Y85" s="959"/>
      <c r="Z85" s="959"/>
      <c r="AE85" s="51">
        <f>COUNT(102,$AF$69:AF85)-1</f>
        <v>17</v>
      </c>
      <c r="AF85" s="50">
        <v>1</v>
      </c>
    </row>
    <row r="86" spans="1:32" ht="20.25" customHeight="1">
      <c r="A86" s="983">
        <f>IF(Расходы_2[[#This Row],[КВР]]&gt;=
IF(SUBTOTAL(109,L85)&gt;0,SUBTOTAL(109,L85),
IF(SUBTOTAL(109,L84)&gt;0,SUBTOTAL(109,L84),
IF(SUBTOTAL(109,L83)&gt;0,SUBTOTAL(109,L83),
IF(SUBTOTAL(109,L82)&gt;0,SUBTOTAL(109,L82),
IF(SUBTOTAL(109,L81)&gt;0,SUBTOTAL(109,L81),
IF(SUBTOTAL(109,L80)&gt;0,SUBTOTAL(109,L80),
IF(SUBTOTAL(109,L79)&gt;0,SUBTOTAL(109,L79),
IF(SUBTOTAL(109,L78)&gt;0,SUBTOTAL(109,L78),
IF(SUBTOTAL(109,L77)&gt;0,SUBTOTAL(109,L77),
IF(SUBTOTAL(109,L76)&gt;0,SUBTOTAL(109,L76),
IF(SUBTOTAL(109,L75)&gt;0,SUBTOTAL(109,L76),
IF(SUBTOTAL(109,L74)&gt;0,SUBTOTAL(109,L74),
IF(SUBTOTAL(109,L73)&gt;0,SUBTOTAL(109,L73),
IF(SUBTOTAL(109,L72)&gt;0,SUBTOTAL(109,L72),
IF(SUBTOTAL(109,L71)&gt;0,SUBTOTAL(109,L71),
IF(SUBTOTAL(109,L70)&gt;0,SUBTOTAL(109,L70),
IF(SUBTOTAL(109,L69)&gt;0,SUBTOTAL(109,L69),
IF(SUBTOTAL(109,L68)&gt;0,SUBTOTAL(109,L68),
IF(SUBTOTAL(109,L67)&gt;0,SUBTOTAL(109,L67),
))))))))))))))))))),1,0)</f>
        <v>1</v>
      </c>
      <c r="B86" s="983"/>
      <c r="C86" s="983">
        <f>IF(Расходы_2[[#This Row],[КОСГУ]]&gt;=
IF(SUBTOTAL(109,N85)&gt;0,SUBTOTAL(109,N85),
IF(SUBTOTAL(109,N84)&gt;0,SUBTOTAL(109,N84),
IF(SUBTOTAL(109,N83)&gt;0,SUBTOTAL(109,N83),
IF(SUBTOTAL(109,N82)&gt;0,SUBTOTAL(109,N82),
IF(SUBTOTAL(109,N81)&gt;0,SUBTOTAL(109,N81),
IF(SUBTOTAL(109,N80)&gt;0,SUBTOTAL(109,N80),
IF(SUBTOTAL(109,N79)&gt;0,SUBTOTAL(109,N79),
IF(SUBTOTAL(109,N78)&gt;0,SUBTOTAL(109,N78),
IF(SUBTOTAL(109,N77)&gt;0,SUBTOTAL(109,N77),
IF(SUBTOTAL(109,N76)&gt;0,SUBTOTAL(109,N76),
IF(SUBTOTAL(109,N75)&gt;0,SUBTOTAL(109,N76),
IF(SUBTOTAL(109,N74)&gt;0,SUBTOTAL(109,N74),
IF(SUBTOTAL(109,N73)&gt;0,SUBTOTAL(109,N73),
IF(SUBTOTAL(109,N72)&gt;0,SUBTOTAL(109,N72),
IF(SUBTOTAL(109,N71)&gt;0,SUBTOTAL(109,N71),
IF(SUBTOTAL(109,N70)&gt;0,SUBTOTAL(109,N70),
IF(SUBTOTAL(109,N69)&gt;0,SUBTOTAL(109,N69),
IF(SUBTOTAL(109,N68)&gt;0,SUBTOTAL(109,N68),
IF(SUBTOTAL(109,N67)&gt;0,SUBTOTAL(109,N67),
))))))))))))))))))),1,0)</f>
        <v>1</v>
      </c>
      <c r="D86" s="983">
        <f>IF(Расходы_2[[#This Row],[КВР]]&gt;
IF(SUBTOTAL(109,L85)&gt;0,SUBTOTAL(109,L85),
IF(SUBTOTAL(109,L84)&gt;0,SUBTOTAL(109,L84),
IF(SUBTOTAL(109,L83)&gt;0,SUBTOTAL(109,L83),
IF(SUBTOTAL(109,L82)&gt;0,SUBTOTAL(109,L82),
IF(SUBTOTAL(109,L81)&gt;0,SUBTOTAL(109,L81),
IF(SUBTOTAL(109,L80)&gt;0,SUBTOTAL(109,L80),
IF(SUBTOTAL(109,L79)&gt;0,SUBTOTAL(109,L79),
IF(SUBTOTAL(109,L78)&gt;0,SUBTOTAL(109,L78),
IF(SUBTOTAL(109,L77)&gt;0,SUBTOTAL(109,L77),
IF(SUBTOTAL(109,L76)&gt;0,SUBTOTAL(109,L76),
IF(SUBTOTAL(109,L75)&gt;0,SUBTOTAL(109,L76),
IF(SUBTOTAL(109,L74)&gt;0,SUBTOTAL(109,L74),
IF(SUBTOTAL(109,L73)&gt;0,SUBTOTAL(109,L73),
IF(SUBTOTAL(109,L72)&gt;0,SUBTOTAL(109,L72),
IF(SUBTOTAL(109,L71)&gt;0,SUBTOTAL(109,L71),
IF(SUBTOTAL(109,L70)&gt;0,SUBTOTAL(109,L70),
IF(SUBTOTAL(109,L69)&gt;0,SUBTOTAL(109,L69),
IF(SUBTOTAL(109,L68)&gt;0,SUBTOTAL(109,L68),
IF(SUBTOTAL(109,L67)&gt;0,SUBTOTAL(109,L67),
))))))))))))))))))),1,0)</f>
        <v>0</v>
      </c>
      <c r="E86" s="983">
        <f>IF(AND(Расходы_2[[#This Row],[КЦ]]="14561Э",M85="14561Т"),1,
IF(Расходы_2[[#This Row],[КЦ]]&gt;
IF(SUBTOTAL(109,M85)&gt;0,SUBTOTAL(109,M85),
IF(SUBTOTAL(109,M84)&gt;0,SUBTOTAL(109,M84),
IF(SUBTOTAL(109,M83)&gt;0,SUBTOTAL(109,M83),
IF(SUBTOTAL(109,M82)&gt;0,SUBTOTAL(109,M82),
IF(SUBTOTAL(109,M81)&gt;0,SUBTOTAL(109,M81),
IF(SUBTOTAL(109,M80)&gt;0,SUBTOTAL(109,M80))))))),1,0))</f>
        <v>0</v>
      </c>
      <c r="F86" s="983">
        <f>IF(Расходы_2[[#This Row],[КОСГУ]]&gt;
IF(SUBTOTAL(109,N85)&gt;0,SUBTOTAL(109,N85),
IF(SUBTOTAL(109,N84)&gt;0,SUBTOTAL(109,N84),
IF(SUBTOTAL(109,N83)&gt;0,SUBTOTAL(109,N83),
IF(SUBTOTAL(109,N82)&gt;0,SUBTOTAL(109,N82),
IF(SUBTOTAL(109,N81)&gt;0,SUBTOTAL(109,N81),
IF(SUBTOTAL(109,N80)&gt;0,SUBTOTAL(109,N80),
IF(SUBTOTAL(109,N79)&gt;0,SUBTOTAL(109,N79),
IF(SUBTOTAL(109,N78)&gt;0,SUBTOTAL(109,N78),
IF(SUBTOTAL(109,N77)&gt;0,SUBTOTAL(109,N77),
IF(SUBTOTAL(109,N76)&gt;0,SUBTOTAL(109,N76),
IF(SUBTOTAL(109,N75)&gt;0,SUBTOTAL(109,N76),
IF(SUBTOTAL(109,N74)&gt;0,SUBTOTAL(109,N74),
IF(SUBTOTAL(109,N73)&gt;0,SUBTOTAL(109,N73),
IF(SUBTOTAL(109,N72)&gt;0,SUBTOTAL(109,N72),
IF(SUBTOTAL(109,N71)&gt;0,SUBTOTAL(109,N71),
IF(SUBTOTAL(109,N70)&gt;0,SUBTOTAL(109,N70),
IF(SUBTOTAL(109,N69)&gt;0,SUBTOTAL(109,N69),
IF(SUBTOTAL(109,N68)&gt;0,SUBTOTAL(109,N68),
IF(SUBTOTAL(109,N67)&gt;0,SUBTOTAL(109,N67),
))))))))))))))))))),1,0)</f>
        <v>0</v>
      </c>
      <c r="G86" s="983" t="e">
        <f ca="1">_xlfn.AGGREGATE(9,5,$D$69:D86)</f>
        <v>#NAME?</v>
      </c>
      <c r="H86" s="983" t="e">
        <f ca="1">_xlfn.AGGREGATE(9,5,$E$69:E86)</f>
        <v>#NAME?</v>
      </c>
      <c r="I86" s="983" t="e">
        <f ca="1">_xlfn.AGGREGATE(9,5,$F$69:F86)</f>
        <v>#NAME?</v>
      </c>
      <c r="J86" s="964" t="str">
        <f>IF(SUM(Расходы_2[[#This Row],[2 025]:[2 027]])=0,"000",".")</f>
        <v>.</v>
      </c>
      <c r="K86" s="965">
        <v>2</v>
      </c>
      <c r="L86" s="908">
        <v>244</v>
      </c>
      <c r="M86" s="966"/>
      <c r="N86" s="908">
        <v>226</v>
      </c>
      <c r="O86" s="961">
        <v>120750</v>
      </c>
      <c r="P86" s="961"/>
      <c r="Q86" s="961"/>
      <c r="R86" s="1239" t="s">
        <v>242</v>
      </c>
      <c r="S86" s="1128"/>
      <c r="Y86" s="959"/>
      <c r="Z86" s="959"/>
      <c r="AA86" s="959"/>
      <c r="AB86" s="963"/>
      <c r="AE86" s="51">
        <f>COUNT(102,$AF$69:AF86)-1</f>
        <v>18</v>
      </c>
      <c r="AF86" s="50">
        <v>1</v>
      </c>
    </row>
    <row r="87" spans="1:32" ht="20.25" customHeight="1">
      <c r="A87" s="983">
        <f>IF(Расходы_2[[#This Row],[КВР]]&gt;=
IF(SUBTOTAL(109,L86)&gt;0,SUBTOTAL(109,L86),
IF(SUBTOTAL(109,L85)&gt;0,SUBTOTAL(109,L85),
IF(SUBTOTAL(109,L84)&gt;0,SUBTOTAL(109,L84),
IF(SUBTOTAL(109,L83)&gt;0,SUBTOTAL(109,L83),
IF(SUBTOTAL(109,L82)&gt;0,SUBTOTAL(109,L82),
IF(SUBTOTAL(109,L81)&gt;0,SUBTOTAL(109,L81),
IF(SUBTOTAL(109,L80)&gt;0,SUBTOTAL(109,L80),
IF(SUBTOTAL(109,L79)&gt;0,SUBTOTAL(109,L79),
IF(SUBTOTAL(109,L78)&gt;0,SUBTOTAL(109,L78),
IF(SUBTOTAL(109,L77)&gt;0,SUBTOTAL(109,L77),
IF(SUBTOTAL(109,L76)&gt;0,SUBTOTAL(109,L77),
IF(SUBTOTAL(109,L75)&gt;0,SUBTOTAL(109,L75),
IF(SUBTOTAL(109,L74)&gt;0,SUBTOTAL(109,L74),
IF(SUBTOTAL(109,L73)&gt;0,SUBTOTAL(109,L73),
IF(SUBTOTAL(109,L72)&gt;0,SUBTOTAL(109,L72),
IF(SUBTOTAL(109,L71)&gt;0,SUBTOTAL(109,L71),
IF(SUBTOTAL(109,L70)&gt;0,SUBTOTAL(109,L70),
IF(SUBTOTAL(109,L69)&gt;0,SUBTOTAL(109,L69),
IF(SUBTOTAL(109,L68)&gt;0,SUBTOTAL(109,L68),
))))))))))))))))))),1,0)</f>
        <v>1</v>
      </c>
      <c r="B87" s="983"/>
      <c r="C87" s="983">
        <f>IF(Расходы_2[[#This Row],[КОСГУ]]&gt;=
IF(SUBTOTAL(109,N86)&gt;0,SUBTOTAL(109,N86),
IF(SUBTOTAL(109,N85)&gt;0,SUBTOTAL(109,N85),
IF(SUBTOTAL(109,N84)&gt;0,SUBTOTAL(109,N84),
IF(SUBTOTAL(109,N83)&gt;0,SUBTOTAL(109,N83),
IF(SUBTOTAL(109,N82)&gt;0,SUBTOTAL(109,N82),
IF(SUBTOTAL(109,N81)&gt;0,SUBTOTAL(109,N81),
IF(SUBTOTAL(109,N80)&gt;0,SUBTOTAL(109,N80),
IF(SUBTOTAL(109,N79)&gt;0,SUBTOTAL(109,N79),
IF(SUBTOTAL(109,N78)&gt;0,SUBTOTAL(109,N78),
IF(SUBTOTAL(109,N77)&gt;0,SUBTOTAL(109,N77),
IF(SUBTOTAL(109,N76)&gt;0,SUBTOTAL(109,N77),
IF(SUBTOTAL(109,N75)&gt;0,SUBTOTAL(109,N75),
IF(SUBTOTAL(109,N74)&gt;0,SUBTOTAL(109,N74),
IF(SUBTOTAL(109,N73)&gt;0,SUBTOTAL(109,N73),
IF(SUBTOTAL(109,N72)&gt;0,SUBTOTAL(109,N72),
IF(SUBTOTAL(109,N71)&gt;0,SUBTOTAL(109,N71),
IF(SUBTOTAL(109,N70)&gt;0,SUBTOTAL(109,N70),
IF(SUBTOTAL(109,N69)&gt;0,SUBTOTAL(109,N69),
IF(SUBTOTAL(109,N68)&gt;0,SUBTOTAL(109,N68),
))))))))))))))))))),1,0)</f>
        <v>1</v>
      </c>
      <c r="D87" s="983">
        <f>IF(Расходы_2[[#This Row],[КВР]]&gt;
IF(SUBTOTAL(109,L86)&gt;0,SUBTOTAL(109,L86),
IF(SUBTOTAL(109,L85)&gt;0,SUBTOTAL(109,L85),
IF(SUBTOTAL(109,L84)&gt;0,SUBTOTAL(109,L84),
IF(SUBTOTAL(109,L83)&gt;0,SUBTOTAL(109,L83),
IF(SUBTOTAL(109,L82)&gt;0,SUBTOTAL(109,L82),
IF(SUBTOTAL(109,L81)&gt;0,SUBTOTAL(109,L81),
IF(SUBTOTAL(109,L80)&gt;0,SUBTOTAL(109,L80),
IF(SUBTOTAL(109,L79)&gt;0,SUBTOTAL(109,L79),
IF(SUBTOTAL(109,L78)&gt;0,SUBTOTAL(109,L78),
IF(SUBTOTAL(109,L77)&gt;0,SUBTOTAL(109,L77),
IF(SUBTOTAL(109,L76)&gt;0,SUBTOTAL(109,L77),
IF(SUBTOTAL(109,L75)&gt;0,SUBTOTAL(109,L75),
IF(SUBTOTAL(109,L74)&gt;0,SUBTOTAL(109,L74),
IF(SUBTOTAL(109,L73)&gt;0,SUBTOTAL(109,L73),
IF(SUBTOTAL(109,L72)&gt;0,SUBTOTAL(109,L72),
IF(SUBTOTAL(109,L71)&gt;0,SUBTOTAL(109,L71),
IF(SUBTOTAL(109,L70)&gt;0,SUBTOTAL(109,L70),
IF(SUBTOTAL(109,L69)&gt;0,SUBTOTAL(109,L69),
IF(SUBTOTAL(109,L68)&gt;0,SUBTOTAL(109,L68),
))))))))))))))))))),1,0)</f>
        <v>0</v>
      </c>
      <c r="E87" s="983">
        <f>IF(AND(Расходы_2[[#This Row],[КЦ]]="14561Э",M86="14561Т"),1,
IF(Расходы_2[[#This Row],[КЦ]]&gt;
IF(SUBTOTAL(109,M86)&gt;0,SUBTOTAL(109,M86),
IF(SUBTOTAL(109,M85)&gt;0,SUBTOTAL(109,M85),
IF(SUBTOTAL(109,M84)&gt;0,SUBTOTAL(109,M84),
IF(SUBTOTAL(109,M83)&gt;0,SUBTOTAL(109,M83),
IF(SUBTOTAL(109,M82)&gt;0,SUBTOTAL(109,M82),
IF(SUBTOTAL(109,M81)&gt;0,SUBTOTAL(109,M81))))))),1,0))</f>
        <v>0</v>
      </c>
      <c r="F87" s="983">
        <f>IF(Расходы_2[[#This Row],[КОСГУ]]&gt;
IF(SUBTOTAL(109,N86)&gt;0,SUBTOTAL(109,N86),
IF(SUBTOTAL(109,N85)&gt;0,SUBTOTAL(109,N85),
IF(SUBTOTAL(109,N84)&gt;0,SUBTOTAL(109,N84),
IF(SUBTOTAL(109,N83)&gt;0,SUBTOTAL(109,N83),
IF(SUBTOTAL(109,N82)&gt;0,SUBTOTAL(109,N82),
IF(SUBTOTAL(109,N81)&gt;0,SUBTOTAL(109,N81),
IF(SUBTOTAL(109,N80)&gt;0,SUBTOTAL(109,N80),
IF(SUBTOTAL(109,N79)&gt;0,SUBTOTAL(109,N79),
IF(SUBTOTAL(109,N78)&gt;0,SUBTOTAL(109,N78),
IF(SUBTOTAL(109,N77)&gt;0,SUBTOTAL(109,N77),
IF(SUBTOTAL(109,N76)&gt;0,SUBTOTAL(109,N77),
IF(SUBTOTAL(109,N75)&gt;0,SUBTOTAL(109,N75),
IF(SUBTOTAL(109,N74)&gt;0,SUBTOTAL(109,N74),
IF(SUBTOTAL(109,N73)&gt;0,SUBTOTAL(109,N73),
IF(SUBTOTAL(109,N72)&gt;0,SUBTOTAL(109,N72),
IF(SUBTOTAL(109,N71)&gt;0,SUBTOTAL(109,N71),
IF(SUBTOTAL(109,N70)&gt;0,SUBTOTAL(109,N70),
IF(SUBTOTAL(109,N69)&gt;0,SUBTOTAL(109,N69),
IF(SUBTOTAL(109,N68)&gt;0,SUBTOTAL(109,N68),
))))))))))))))))))),1,0)</f>
        <v>0</v>
      </c>
      <c r="G87" s="983" t="e">
        <f ca="1">_xlfn.AGGREGATE(9,5,$D$69:D87)</f>
        <v>#NAME?</v>
      </c>
      <c r="H87" s="983" t="e">
        <f ca="1">_xlfn.AGGREGATE(9,5,$E$69:E87)</f>
        <v>#NAME?</v>
      </c>
      <c r="I87" s="983" t="e">
        <f ca="1">_xlfn.AGGREGATE(9,5,$F$69:F87)</f>
        <v>#NAME?</v>
      </c>
      <c r="J87" s="964" t="str">
        <f>IF(SUM(Расходы_2[[#This Row],[2 025]:[2 027]])=0,"000",".")</f>
        <v>000</v>
      </c>
      <c r="K87" s="965">
        <v>2</v>
      </c>
      <c r="L87" s="908">
        <v>244</v>
      </c>
      <c r="M87" s="966"/>
      <c r="N87" s="908">
        <v>226</v>
      </c>
      <c r="O87" s="961"/>
      <c r="P87" s="961"/>
      <c r="Q87" s="961"/>
      <c r="R87" s="1239" t="s">
        <v>244</v>
      </c>
      <c r="S87" s="1128"/>
      <c r="Y87" s="959"/>
      <c r="Z87" s="959"/>
      <c r="AA87" s="959"/>
      <c r="AB87" s="963"/>
      <c r="AE87" s="51">
        <f>COUNT(102,$AF$69:AF87)-1</f>
        <v>19</v>
      </c>
      <c r="AF87" s="50">
        <v>1</v>
      </c>
    </row>
    <row r="88" spans="1:32" ht="20.25" customHeight="1">
      <c r="A88" s="983">
        <f>IF(Расходы_2[[#This Row],[КВР]]&gt;=
IF(SUBTOTAL(109,L87)&gt;0,SUBTOTAL(109,L87),
IF(SUBTOTAL(109,L86)&gt;0,SUBTOTAL(109,L86),
IF(SUBTOTAL(109,L85)&gt;0,SUBTOTAL(109,L85),
IF(SUBTOTAL(109,L84)&gt;0,SUBTOTAL(109,L84),
IF(SUBTOTAL(109,L83)&gt;0,SUBTOTAL(109,L83),
IF(SUBTOTAL(109,L82)&gt;0,SUBTOTAL(109,L82),
IF(SUBTOTAL(109,L81)&gt;0,SUBTOTAL(109,L81),
IF(SUBTOTAL(109,L80)&gt;0,SUBTOTAL(109,L80),
IF(SUBTOTAL(109,L79)&gt;0,SUBTOTAL(109,L79),
IF(SUBTOTAL(109,L78)&gt;0,SUBTOTAL(109,L78),
IF(SUBTOTAL(109,L77)&gt;0,SUBTOTAL(109,L78),
IF(SUBTOTAL(109,L76)&gt;0,SUBTOTAL(109,L76),
IF(SUBTOTAL(109,L75)&gt;0,SUBTOTAL(109,L75),
IF(SUBTOTAL(109,L74)&gt;0,SUBTOTAL(109,L74),
IF(SUBTOTAL(109,L73)&gt;0,SUBTOTAL(109,L73),
IF(SUBTOTAL(109,L72)&gt;0,SUBTOTAL(109,L72),
IF(SUBTOTAL(109,L71)&gt;0,SUBTOTAL(109,L71),
IF(SUBTOTAL(109,L70)&gt;0,SUBTOTAL(109,L70),
IF(SUBTOTAL(109,L69)&gt;0,SUBTOTAL(109,L69),
))))))))))))))))))),1,0)</f>
        <v>1</v>
      </c>
      <c r="B88" s="983"/>
      <c r="C88" s="983">
        <f>IF(Расходы_2[[#This Row],[КОСГУ]]&gt;=
IF(SUBTOTAL(109,N87)&gt;0,SUBTOTAL(109,N87),
IF(SUBTOTAL(109,N86)&gt;0,SUBTOTAL(109,N86),
IF(SUBTOTAL(109,N85)&gt;0,SUBTOTAL(109,N85),
IF(SUBTOTAL(109,N84)&gt;0,SUBTOTAL(109,N84),
IF(SUBTOTAL(109,N83)&gt;0,SUBTOTAL(109,N83),
IF(SUBTOTAL(109,N82)&gt;0,SUBTOTAL(109,N82),
IF(SUBTOTAL(109,N81)&gt;0,SUBTOTAL(109,N81),
IF(SUBTOTAL(109,N80)&gt;0,SUBTOTAL(109,N80),
IF(SUBTOTAL(109,N79)&gt;0,SUBTOTAL(109,N79),
IF(SUBTOTAL(109,N78)&gt;0,SUBTOTAL(109,N78),
IF(SUBTOTAL(109,N77)&gt;0,SUBTOTAL(109,N78),
IF(SUBTOTAL(109,N76)&gt;0,SUBTOTAL(109,N76),
IF(SUBTOTAL(109,N75)&gt;0,SUBTOTAL(109,N75),
IF(SUBTOTAL(109,N74)&gt;0,SUBTOTAL(109,N74),
IF(SUBTOTAL(109,N73)&gt;0,SUBTOTAL(109,N73),
IF(SUBTOTAL(109,N72)&gt;0,SUBTOTAL(109,N72),
IF(SUBTOTAL(109,N71)&gt;0,SUBTOTAL(109,N71),
IF(SUBTOTAL(109,N70)&gt;0,SUBTOTAL(109,N70),
IF(SUBTOTAL(109,N69)&gt;0,SUBTOTAL(109,N69),
))))))))))))))))))),1,0)</f>
        <v>1</v>
      </c>
      <c r="D88" s="983">
        <f>IF(Расходы_2[[#This Row],[КВР]]&gt;
IF(SUBTOTAL(109,L87)&gt;0,SUBTOTAL(109,L87),
IF(SUBTOTAL(109,L86)&gt;0,SUBTOTAL(109,L86),
IF(SUBTOTAL(109,L85)&gt;0,SUBTOTAL(109,L85),
IF(SUBTOTAL(109,L84)&gt;0,SUBTOTAL(109,L84),
IF(SUBTOTAL(109,L83)&gt;0,SUBTOTAL(109,L83),
IF(SUBTOTAL(109,L82)&gt;0,SUBTOTAL(109,L82),
IF(SUBTOTAL(109,L81)&gt;0,SUBTOTAL(109,L81),
IF(SUBTOTAL(109,L80)&gt;0,SUBTOTAL(109,L80),
IF(SUBTOTAL(109,L79)&gt;0,SUBTOTAL(109,L79),
IF(SUBTOTAL(109,L78)&gt;0,SUBTOTAL(109,L78),
IF(SUBTOTAL(109,L77)&gt;0,SUBTOTAL(109,L78),
IF(SUBTOTAL(109,L76)&gt;0,SUBTOTAL(109,L76),
IF(SUBTOTAL(109,L75)&gt;0,SUBTOTAL(109,L75),
IF(SUBTOTAL(109,L74)&gt;0,SUBTOTAL(109,L74),
IF(SUBTOTAL(109,L73)&gt;0,SUBTOTAL(109,L73),
IF(SUBTOTAL(109,L72)&gt;0,SUBTOTAL(109,L72),
IF(SUBTOTAL(109,L71)&gt;0,SUBTOTAL(109,L71),
IF(SUBTOTAL(109,L70)&gt;0,SUBTOTAL(109,L70),
IF(SUBTOTAL(109,L69)&gt;0,SUBTOTAL(109,L69),
))))))))))))))))))),1,0)</f>
        <v>0</v>
      </c>
      <c r="E88" s="983">
        <f>IF(AND(Расходы_2[[#This Row],[КЦ]]="14561Э",M87="14561Т"),1,
IF(Расходы_2[[#This Row],[КЦ]]&gt;
IF(SUBTOTAL(109,M87)&gt;0,SUBTOTAL(109,M87),
IF(SUBTOTAL(109,M86)&gt;0,SUBTOTAL(109,M86),
IF(SUBTOTAL(109,M85)&gt;0,SUBTOTAL(109,M85),
IF(SUBTOTAL(109,M84)&gt;0,SUBTOTAL(109,M84),
IF(SUBTOTAL(109,M83)&gt;0,SUBTOTAL(109,M83),
IF(SUBTOTAL(109,M82)&gt;0,SUBTOTAL(109,M82))))))),1,0))</f>
        <v>0</v>
      </c>
      <c r="F88" s="983">
        <f>IF(Расходы_2[[#This Row],[КОСГУ]]&gt;
IF(SUBTOTAL(109,N87)&gt;0,SUBTOTAL(109,N87),
IF(SUBTOTAL(109,N86)&gt;0,SUBTOTAL(109,N86),
IF(SUBTOTAL(109,N85)&gt;0,SUBTOTAL(109,N85),
IF(SUBTOTAL(109,N84)&gt;0,SUBTOTAL(109,N84),
IF(SUBTOTAL(109,N83)&gt;0,SUBTOTAL(109,N83),
IF(SUBTOTAL(109,N82)&gt;0,SUBTOTAL(109,N82),
IF(SUBTOTAL(109,N81)&gt;0,SUBTOTAL(109,N81),
IF(SUBTOTAL(109,N80)&gt;0,SUBTOTAL(109,N80),
IF(SUBTOTAL(109,N79)&gt;0,SUBTOTAL(109,N79),
IF(SUBTOTAL(109,N78)&gt;0,SUBTOTAL(109,N78),
IF(SUBTOTAL(109,N77)&gt;0,SUBTOTAL(109,N78),
IF(SUBTOTAL(109,N76)&gt;0,SUBTOTAL(109,N76),
IF(SUBTOTAL(109,N75)&gt;0,SUBTOTAL(109,N75),
IF(SUBTOTAL(109,N74)&gt;0,SUBTOTAL(109,N74),
IF(SUBTOTAL(109,N73)&gt;0,SUBTOTAL(109,N73),
IF(SUBTOTAL(109,N72)&gt;0,SUBTOTAL(109,N72),
IF(SUBTOTAL(109,N71)&gt;0,SUBTOTAL(109,N71),
IF(SUBTOTAL(109,N70)&gt;0,SUBTOTAL(109,N70),
IF(SUBTOTAL(109,N69)&gt;0,SUBTOTAL(109,N69),
))))))))))))))))))),1,0)</f>
        <v>1</v>
      </c>
      <c r="G88" s="983" t="e">
        <f ca="1">_xlfn.AGGREGATE(9,5,$D$69:D88)</f>
        <v>#NAME?</v>
      </c>
      <c r="H88" s="983" t="e">
        <f ca="1">_xlfn.AGGREGATE(9,5,$E$69:E88)</f>
        <v>#NAME?</v>
      </c>
      <c r="I88" s="983" t="e">
        <f ca="1">_xlfn.AGGREGATE(9,5,$F$69:F88)</f>
        <v>#NAME?</v>
      </c>
      <c r="J88" s="964" t="str">
        <f>IF(SUM(Расходы_2[[#This Row],[2 025]:[2 027]])=0,"000",".")</f>
        <v>000</v>
      </c>
      <c r="K88" s="965">
        <v>2</v>
      </c>
      <c r="L88" s="908">
        <v>244</v>
      </c>
      <c r="M88" s="966"/>
      <c r="N88" s="908">
        <v>227</v>
      </c>
      <c r="O88" s="967"/>
      <c r="P88" s="967"/>
      <c r="Q88" s="967"/>
      <c r="R88" s="1239" t="s">
        <v>245</v>
      </c>
      <c r="S88" s="1128"/>
      <c r="Y88" s="959"/>
      <c r="Z88" s="959"/>
      <c r="AA88" s="959"/>
      <c r="AB88" s="963"/>
      <c r="AE88" s="51">
        <f>COUNT(102,$AF$69:AF88)-1</f>
        <v>20</v>
      </c>
      <c r="AF88" s="50">
        <v>1</v>
      </c>
    </row>
    <row r="89" spans="1:32" ht="20.25" customHeight="1">
      <c r="A89" s="983">
        <f>IF(Расходы_2[[#This Row],[КВР]]&gt;=
IF(SUBTOTAL(109,L88)&gt;0,SUBTOTAL(109,L88),
IF(SUBTOTAL(109,L87)&gt;0,SUBTOTAL(109,L87),
IF(SUBTOTAL(109,L86)&gt;0,SUBTOTAL(109,L86),
IF(SUBTOTAL(109,L85)&gt;0,SUBTOTAL(109,L85),
IF(SUBTOTAL(109,L84)&gt;0,SUBTOTAL(109,L84),
IF(SUBTOTAL(109,L83)&gt;0,SUBTOTAL(109,L83),
IF(SUBTOTAL(109,L82)&gt;0,SUBTOTAL(109,L82),
IF(SUBTOTAL(109,L81)&gt;0,SUBTOTAL(109,L81),
IF(SUBTOTAL(109,L80)&gt;0,SUBTOTAL(109,L80),
IF(SUBTOTAL(109,L79)&gt;0,SUBTOTAL(109,L79),
IF(SUBTOTAL(109,L78)&gt;0,SUBTOTAL(109,L79),
IF(SUBTOTAL(109,L77)&gt;0,SUBTOTAL(109,L77),
IF(SUBTOTAL(109,L76)&gt;0,SUBTOTAL(109,L76),
IF(SUBTOTAL(109,L75)&gt;0,SUBTOTAL(109,L75),
IF(SUBTOTAL(109,L74)&gt;0,SUBTOTAL(109,L74),
IF(SUBTOTAL(109,L73)&gt;0,SUBTOTAL(109,L73),
IF(SUBTOTAL(109,L72)&gt;0,SUBTOTAL(109,L72),
IF(SUBTOTAL(109,L71)&gt;0,SUBTOTAL(109,L71),
IF(SUBTOTAL(109,L70)&gt;0,SUBTOTAL(109,L70),
))))))))))))))))))),1,0)</f>
        <v>1</v>
      </c>
      <c r="B89" s="983"/>
      <c r="C89" s="983">
        <f>IF(Расходы_2[[#This Row],[КОСГУ]]&gt;=
IF(SUBTOTAL(109,N88)&gt;0,SUBTOTAL(109,N88),
IF(SUBTOTAL(109,N87)&gt;0,SUBTOTAL(109,N87),
IF(SUBTOTAL(109,N86)&gt;0,SUBTOTAL(109,N86),
IF(SUBTOTAL(109,N85)&gt;0,SUBTOTAL(109,N85),
IF(SUBTOTAL(109,N84)&gt;0,SUBTOTAL(109,N84),
IF(SUBTOTAL(109,N83)&gt;0,SUBTOTAL(109,N83),
IF(SUBTOTAL(109,N82)&gt;0,SUBTOTAL(109,N82),
IF(SUBTOTAL(109,N81)&gt;0,SUBTOTAL(109,N81),
IF(SUBTOTAL(109,N80)&gt;0,SUBTOTAL(109,N80),
IF(SUBTOTAL(109,N79)&gt;0,SUBTOTAL(109,N79),
IF(SUBTOTAL(109,N78)&gt;0,SUBTOTAL(109,N79),
IF(SUBTOTAL(109,N77)&gt;0,SUBTOTAL(109,N77),
IF(SUBTOTAL(109,N76)&gt;0,SUBTOTAL(109,N76),
IF(SUBTOTAL(109,N75)&gt;0,SUBTOTAL(109,N75),
IF(SUBTOTAL(109,N74)&gt;0,SUBTOTAL(109,N74),
IF(SUBTOTAL(109,N73)&gt;0,SUBTOTAL(109,N73),
IF(SUBTOTAL(109,N72)&gt;0,SUBTOTAL(109,N72),
IF(SUBTOTAL(109,N71)&gt;0,SUBTOTAL(109,N71),
IF(SUBTOTAL(109,N70)&gt;0,SUBTOTAL(109,N70),
))))))))))))))))))),1,0)</f>
        <v>1</v>
      </c>
      <c r="D89" s="983">
        <f>IF(Расходы_2[[#This Row],[КВР]]&gt;
IF(SUBTOTAL(109,L88)&gt;0,SUBTOTAL(109,L88),
IF(SUBTOTAL(109,L87)&gt;0,SUBTOTAL(109,L87),
IF(SUBTOTAL(109,L86)&gt;0,SUBTOTAL(109,L86),
IF(SUBTOTAL(109,L85)&gt;0,SUBTOTAL(109,L85),
IF(SUBTOTAL(109,L84)&gt;0,SUBTOTAL(109,L84),
IF(SUBTOTAL(109,L83)&gt;0,SUBTOTAL(109,L83),
IF(SUBTOTAL(109,L82)&gt;0,SUBTOTAL(109,L82),
IF(SUBTOTAL(109,L81)&gt;0,SUBTOTAL(109,L81),
IF(SUBTOTAL(109,L80)&gt;0,SUBTOTAL(109,L80),
IF(SUBTOTAL(109,L79)&gt;0,SUBTOTAL(109,L79),
IF(SUBTOTAL(109,L78)&gt;0,SUBTOTAL(109,L79),
IF(SUBTOTAL(109,L77)&gt;0,SUBTOTAL(109,L77),
IF(SUBTOTAL(109,L76)&gt;0,SUBTOTAL(109,L76),
IF(SUBTOTAL(109,L75)&gt;0,SUBTOTAL(109,L75),
IF(SUBTOTAL(109,L74)&gt;0,SUBTOTAL(109,L74),
IF(SUBTOTAL(109,L73)&gt;0,SUBTOTAL(109,L73),
IF(SUBTOTAL(109,L72)&gt;0,SUBTOTAL(109,L72),
IF(SUBTOTAL(109,L71)&gt;0,SUBTOTAL(109,L71),
IF(SUBTOTAL(109,L70)&gt;0,SUBTOTAL(109,L70),
))))))))))))))))))),1,0)</f>
        <v>0</v>
      </c>
      <c r="E89" s="983">
        <f>IF(AND(Расходы_2[[#This Row],[КЦ]]="14561Э",M88="14561Т"),1,
IF(Расходы_2[[#This Row],[КЦ]]&gt;
IF(SUBTOTAL(109,M88)&gt;0,SUBTOTAL(109,M88),
IF(SUBTOTAL(109,M87)&gt;0,SUBTOTAL(109,M87),
IF(SUBTOTAL(109,M86)&gt;0,SUBTOTAL(109,M86),
IF(SUBTOTAL(109,M85)&gt;0,SUBTOTAL(109,M85),
IF(SUBTOTAL(109,M84)&gt;0,SUBTOTAL(109,M84),
IF(SUBTOTAL(109,M83)&gt;0,SUBTOTAL(109,M83))))))),1,0))</f>
        <v>0</v>
      </c>
      <c r="F89" s="983">
        <f>IF(Расходы_2[[#This Row],[КОСГУ]]&gt;
IF(SUBTOTAL(109,N88)&gt;0,SUBTOTAL(109,N88),
IF(SUBTOTAL(109,N87)&gt;0,SUBTOTAL(109,N87),
IF(SUBTOTAL(109,N86)&gt;0,SUBTOTAL(109,N86),
IF(SUBTOTAL(109,N85)&gt;0,SUBTOTAL(109,N85),
IF(SUBTOTAL(109,N84)&gt;0,SUBTOTAL(109,N84),
IF(SUBTOTAL(109,N83)&gt;0,SUBTOTAL(109,N83),
IF(SUBTOTAL(109,N82)&gt;0,SUBTOTAL(109,N82),
IF(SUBTOTAL(109,N81)&gt;0,SUBTOTAL(109,N81),
IF(SUBTOTAL(109,N80)&gt;0,SUBTOTAL(109,N80),
IF(SUBTOTAL(109,N79)&gt;0,SUBTOTAL(109,N79),
IF(SUBTOTAL(109,N78)&gt;0,SUBTOTAL(109,N79),
IF(SUBTOTAL(109,N77)&gt;0,SUBTOTAL(109,N77),
IF(SUBTOTAL(109,N76)&gt;0,SUBTOTAL(109,N76),
IF(SUBTOTAL(109,N75)&gt;0,SUBTOTAL(109,N75),
IF(SUBTOTAL(109,N74)&gt;0,SUBTOTAL(109,N74),
IF(SUBTOTAL(109,N73)&gt;0,SUBTOTAL(109,N73),
IF(SUBTOTAL(109,N72)&gt;0,SUBTOTAL(109,N72),
IF(SUBTOTAL(109,N71)&gt;0,SUBTOTAL(109,N71),
IF(SUBTOTAL(109,N70)&gt;0,SUBTOTAL(109,N70),
))))))))))))))))))),1,0)</f>
        <v>1</v>
      </c>
      <c r="G89" s="983" t="e">
        <f ca="1">_xlfn.AGGREGATE(9,5,$D$69:D89)</f>
        <v>#NAME?</v>
      </c>
      <c r="H89" s="983" t="e">
        <f ca="1">_xlfn.AGGREGATE(9,5,$E$69:E89)</f>
        <v>#NAME?</v>
      </c>
      <c r="I89" s="983" t="e">
        <f ca="1">_xlfn.AGGREGATE(9,5,$F$69:F89)</f>
        <v>#NAME?</v>
      </c>
      <c r="J89" s="964" t="str">
        <f>IF(SUM(Расходы_2[[#This Row],[2 025]:[2 027]])=0,"000",".")</f>
        <v>000</v>
      </c>
      <c r="K89" s="965">
        <v>2</v>
      </c>
      <c r="L89" s="908">
        <v>244</v>
      </c>
      <c r="M89" s="966"/>
      <c r="N89" s="908">
        <v>228</v>
      </c>
      <c r="O89" s="967"/>
      <c r="P89" s="967"/>
      <c r="Q89" s="967"/>
      <c r="R89" s="1239" t="s">
        <v>246</v>
      </c>
      <c r="S89" s="1128"/>
      <c r="Y89" s="959"/>
      <c r="Z89" s="959"/>
      <c r="AA89" s="959"/>
      <c r="AB89" s="963"/>
      <c r="AE89" s="51">
        <f>COUNT(102,$AF$69:AF89)-1</f>
        <v>21</v>
      </c>
      <c r="AF89" s="50">
        <v>1</v>
      </c>
    </row>
    <row r="90" spans="1:32" ht="20.25" customHeight="1">
      <c r="A90" s="983">
        <f>IF(Расходы_2[[#This Row],[КВР]]&gt;=
IF(SUBTOTAL(109,L89)&gt;0,SUBTOTAL(109,L89),
IF(SUBTOTAL(109,L88)&gt;0,SUBTOTAL(109,L88),
IF(SUBTOTAL(109,L87)&gt;0,SUBTOTAL(109,L87),
IF(SUBTOTAL(109,L86)&gt;0,SUBTOTAL(109,L86),
IF(SUBTOTAL(109,L85)&gt;0,SUBTOTAL(109,L85),
IF(SUBTOTAL(109,L84)&gt;0,SUBTOTAL(109,L84),
IF(SUBTOTAL(109,L83)&gt;0,SUBTOTAL(109,L83),
IF(SUBTOTAL(109,L82)&gt;0,SUBTOTAL(109,L82),
IF(SUBTOTAL(109,L81)&gt;0,SUBTOTAL(109,L81),
IF(SUBTOTAL(109,L80)&gt;0,SUBTOTAL(109,L80),
IF(SUBTOTAL(109,L79)&gt;0,SUBTOTAL(109,L80),
IF(SUBTOTAL(109,L78)&gt;0,SUBTOTAL(109,L78),
IF(SUBTOTAL(109,L77)&gt;0,SUBTOTAL(109,L77),
IF(SUBTOTAL(109,L76)&gt;0,SUBTOTAL(109,L76),
IF(SUBTOTAL(109,L75)&gt;0,SUBTOTAL(109,L75),
IF(SUBTOTAL(109,L74)&gt;0,SUBTOTAL(109,L74),
IF(SUBTOTAL(109,L73)&gt;0,SUBTOTAL(109,L73),
IF(SUBTOTAL(109,L72)&gt;0,SUBTOTAL(109,L72),
IF(SUBTOTAL(109,L71)&gt;0,SUBTOTAL(109,L71),
))))))))))))))))))),1,0)</f>
        <v>1</v>
      </c>
      <c r="B90" s="983"/>
      <c r="C90" s="983">
        <f>IF(Расходы_2[[#This Row],[КОСГУ]]&gt;=
IF(SUBTOTAL(109,N89)&gt;0,SUBTOTAL(109,N89),
IF(SUBTOTAL(109,N88)&gt;0,SUBTOTAL(109,N88),
IF(SUBTOTAL(109,N87)&gt;0,SUBTOTAL(109,N87),
IF(SUBTOTAL(109,N86)&gt;0,SUBTOTAL(109,N86),
IF(SUBTOTAL(109,N85)&gt;0,SUBTOTAL(109,N85),
IF(SUBTOTAL(109,N84)&gt;0,SUBTOTAL(109,N84),
IF(SUBTOTAL(109,N83)&gt;0,SUBTOTAL(109,N83),
IF(SUBTOTAL(109,N82)&gt;0,SUBTOTAL(109,N82),
IF(SUBTOTAL(109,N81)&gt;0,SUBTOTAL(109,N81),
IF(SUBTOTAL(109,N80)&gt;0,SUBTOTAL(109,N80),
IF(SUBTOTAL(109,N79)&gt;0,SUBTOTAL(109,N80),
IF(SUBTOTAL(109,N78)&gt;0,SUBTOTAL(109,N78),
IF(SUBTOTAL(109,N77)&gt;0,SUBTOTAL(109,N77),
IF(SUBTOTAL(109,N76)&gt;0,SUBTOTAL(109,N76),
IF(SUBTOTAL(109,N75)&gt;0,SUBTOTAL(109,N75),
IF(SUBTOTAL(109,N74)&gt;0,SUBTOTAL(109,N74),
IF(SUBTOTAL(109,N73)&gt;0,SUBTOTAL(109,N73),
IF(SUBTOTAL(109,N72)&gt;0,SUBTOTAL(109,N72),
IF(SUBTOTAL(109,N71)&gt;0,SUBTOTAL(109,N71),
))))))))))))))))))),1,0)</f>
        <v>1</v>
      </c>
      <c r="D90" s="983">
        <f>IF(Расходы_2[[#This Row],[КВР]]&gt;
IF(SUBTOTAL(109,L89)&gt;0,SUBTOTAL(109,L89),
IF(SUBTOTAL(109,L88)&gt;0,SUBTOTAL(109,L88),
IF(SUBTOTAL(109,L87)&gt;0,SUBTOTAL(109,L87),
IF(SUBTOTAL(109,L86)&gt;0,SUBTOTAL(109,L86),
IF(SUBTOTAL(109,L85)&gt;0,SUBTOTAL(109,L85),
IF(SUBTOTAL(109,L84)&gt;0,SUBTOTAL(109,L84),
IF(SUBTOTAL(109,L83)&gt;0,SUBTOTAL(109,L83),
IF(SUBTOTAL(109,L82)&gt;0,SUBTOTAL(109,L82),
IF(SUBTOTAL(109,L81)&gt;0,SUBTOTAL(109,L81),
IF(SUBTOTAL(109,L80)&gt;0,SUBTOTAL(109,L80),
IF(SUBTOTAL(109,L79)&gt;0,SUBTOTAL(109,L80),
IF(SUBTOTAL(109,L78)&gt;0,SUBTOTAL(109,L78),
IF(SUBTOTAL(109,L77)&gt;0,SUBTOTAL(109,L77),
IF(SUBTOTAL(109,L76)&gt;0,SUBTOTAL(109,L76),
IF(SUBTOTAL(109,L75)&gt;0,SUBTOTAL(109,L75),
IF(SUBTOTAL(109,L74)&gt;0,SUBTOTAL(109,L74),
IF(SUBTOTAL(109,L73)&gt;0,SUBTOTAL(109,L73),
IF(SUBTOTAL(109,L72)&gt;0,SUBTOTAL(109,L72),
IF(SUBTOTAL(109,L71)&gt;0,SUBTOTAL(109,L71),
))))))))))))))))))),1,0)</f>
        <v>0</v>
      </c>
      <c r="E90" s="983">
        <f>IF(AND(Расходы_2[[#This Row],[КЦ]]="14561Э",M89="14561Т"),1,
IF(Расходы_2[[#This Row],[КЦ]]&gt;
IF(SUBTOTAL(109,M89)&gt;0,SUBTOTAL(109,M89),
IF(SUBTOTAL(109,M88)&gt;0,SUBTOTAL(109,M88),
IF(SUBTOTAL(109,M87)&gt;0,SUBTOTAL(109,M87),
IF(SUBTOTAL(109,M86)&gt;0,SUBTOTAL(109,M86),
IF(SUBTOTAL(109,M85)&gt;0,SUBTOTAL(109,M85),
IF(SUBTOTAL(109,M84)&gt;0,SUBTOTAL(109,M84))))))),1,0))</f>
        <v>0</v>
      </c>
      <c r="F90" s="983">
        <f>IF(Расходы_2[[#This Row],[КОСГУ]]&gt;
IF(SUBTOTAL(109,N89)&gt;0,SUBTOTAL(109,N89),
IF(SUBTOTAL(109,N88)&gt;0,SUBTOTAL(109,N88),
IF(SUBTOTAL(109,N87)&gt;0,SUBTOTAL(109,N87),
IF(SUBTOTAL(109,N86)&gt;0,SUBTOTAL(109,N86),
IF(SUBTOTAL(109,N85)&gt;0,SUBTOTAL(109,N85),
IF(SUBTOTAL(109,N84)&gt;0,SUBTOTAL(109,N84),
IF(SUBTOTAL(109,N83)&gt;0,SUBTOTAL(109,N83),
IF(SUBTOTAL(109,N82)&gt;0,SUBTOTAL(109,N82),
IF(SUBTOTAL(109,N81)&gt;0,SUBTOTAL(109,N81),
IF(SUBTOTAL(109,N80)&gt;0,SUBTOTAL(109,N80),
IF(SUBTOTAL(109,N79)&gt;0,SUBTOTAL(109,N80),
IF(SUBTOTAL(109,N78)&gt;0,SUBTOTAL(109,N78),
IF(SUBTOTAL(109,N77)&gt;0,SUBTOTAL(109,N77),
IF(SUBTOTAL(109,N76)&gt;0,SUBTOTAL(109,N76),
IF(SUBTOTAL(109,N75)&gt;0,SUBTOTAL(109,N75),
IF(SUBTOTAL(109,N74)&gt;0,SUBTOTAL(109,N74),
IF(SUBTOTAL(109,N73)&gt;0,SUBTOTAL(109,N73),
IF(SUBTOTAL(109,N72)&gt;0,SUBTOTAL(109,N72),
IF(SUBTOTAL(109,N71)&gt;0,SUBTOTAL(109,N71),
))))))))))))))))))),1,0)</f>
        <v>1</v>
      </c>
      <c r="G90" s="983" t="e">
        <f ca="1">_xlfn.AGGREGATE(9,5,$D$69:D90)</f>
        <v>#NAME?</v>
      </c>
      <c r="H90" s="983" t="e">
        <f ca="1">_xlfn.AGGREGATE(9,5,$E$69:E90)</f>
        <v>#NAME?</v>
      </c>
      <c r="I90" s="983" t="e">
        <f ca="1">_xlfn.AGGREGATE(9,5,$F$69:F90)</f>
        <v>#NAME?</v>
      </c>
      <c r="J90" s="964" t="str">
        <f>IF(SUM(Расходы_2[[#This Row],[2 025]:[2 027]])=0,"000",".")</f>
        <v>000</v>
      </c>
      <c r="K90" s="965">
        <v>2</v>
      </c>
      <c r="L90" s="908">
        <v>244</v>
      </c>
      <c r="M90" s="966"/>
      <c r="N90" s="908">
        <v>310</v>
      </c>
      <c r="O90" s="967"/>
      <c r="P90" s="967"/>
      <c r="Q90" s="967"/>
      <c r="R90" s="1239"/>
      <c r="S90" s="1128"/>
      <c r="Y90" s="959"/>
      <c r="Z90" s="959"/>
      <c r="AA90" s="959"/>
      <c r="AB90" s="963"/>
      <c r="AE90" s="51">
        <f>COUNT(102,$AF$69:AF90)-1</f>
        <v>22</v>
      </c>
      <c r="AF90" s="50">
        <v>1</v>
      </c>
    </row>
    <row r="91" spans="1:32" ht="20.25" customHeight="1">
      <c r="A91" s="983">
        <f>IF(Расходы_2[[#This Row],[КВР]]&gt;=
IF(SUBTOTAL(109,L90)&gt;0,SUBTOTAL(109,L90),
IF(SUBTOTAL(109,L89)&gt;0,SUBTOTAL(109,L89),
IF(SUBTOTAL(109,L88)&gt;0,SUBTOTAL(109,L88),
IF(SUBTOTAL(109,L87)&gt;0,SUBTOTAL(109,L87),
IF(SUBTOTAL(109,L86)&gt;0,SUBTOTAL(109,L86),
IF(SUBTOTAL(109,L85)&gt;0,SUBTOTAL(109,L85),
IF(SUBTOTAL(109,L84)&gt;0,SUBTOTAL(109,L84),
IF(SUBTOTAL(109,L83)&gt;0,SUBTOTAL(109,L83),
IF(SUBTOTAL(109,L82)&gt;0,SUBTOTAL(109,L82),
IF(SUBTOTAL(109,L81)&gt;0,SUBTOTAL(109,L81),
IF(SUBTOTAL(109,L80)&gt;0,SUBTOTAL(109,L81),
IF(SUBTOTAL(109,L79)&gt;0,SUBTOTAL(109,L79),
IF(SUBTOTAL(109,L78)&gt;0,SUBTOTAL(109,L78),
IF(SUBTOTAL(109,L77)&gt;0,SUBTOTAL(109,L77),
IF(SUBTOTAL(109,L76)&gt;0,SUBTOTAL(109,L76),
IF(SUBTOTAL(109,L75)&gt;0,SUBTOTAL(109,L75),
IF(SUBTOTAL(109,L74)&gt;0,SUBTOTAL(109,L74),
IF(SUBTOTAL(109,L73)&gt;0,SUBTOTAL(109,L73),
IF(SUBTOTAL(109,L72)&gt;0,SUBTOTAL(109,L72),
))))))))))))))))))),1,0)</f>
        <v>1</v>
      </c>
      <c r="B91" s="983"/>
      <c r="C91" s="983">
        <f>IF(Расходы_2[[#This Row],[КОСГУ]]&gt;=
IF(SUBTOTAL(109,N90)&gt;0,SUBTOTAL(109,N90),
IF(SUBTOTAL(109,N89)&gt;0,SUBTOTAL(109,N89),
IF(SUBTOTAL(109,N88)&gt;0,SUBTOTAL(109,N88),
IF(SUBTOTAL(109,N87)&gt;0,SUBTOTAL(109,N87),
IF(SUBTOTAL(109,N86)&gt;0,SUBTOTAL(109,N86),
IF(SUBTOTAL(109,N85)&gt;0,SUBTOTAL(109,N85),
IF(SUBTOTAL(109,N84)&gt;0,SUBTOTAL(109,N84),
IF(SUBTOTAL(109,N83)&gt;0,SUBTOTAL(109,N83),
IF(SUBTOTAL(109,N82)&gt;0,SUBTOTAL(109,N82),
IF(SUBTOTAL(109,N81)&gt;0,SUBTOTAL(109,N81),
IF(SUBTOTAL(109,N80)&gt;0,SUBTOTAL(109,N81),
IF(SUBTOTAL(109,N79)&gt;0,SUBTOTAL(109,N79),
IF(SUBTOTAL(109,N78)&gt;0,SUBTOTAL(109,N78),
IF(SUBTOTAL(109,N77)&gt;0,SUBTOTAL(109,N77),
IF(SUBTOTAL(109,N76)&gt;0,SUBTOTAL(109,N76),
IF(SUBTOTAL(109,N75)&gt;0,SUBTOTAL(109,N75),
IF(SUBTOTAL(109,N74)&gt;0,SUBTOTAL(109,N74),
IF(SUBTOTAL(109,N73)&gt;0,SUBTOTAL(109,N73),
IF(SUBTOTAL(109,N72)&gt;0,SUBTOTAL(109,N72),
))))))))))))))))))),1,0)</f>
        <v>1</v>
      </c>
      <c r="D91" s="983">
        <f>IF(Расходы_2[[#This Row],[КВР]]&gt;
IF(SUBTOTAL(109,L90)&gt;0,SUBTOTAL(109,L90),
IF(SUBTOTAL(109,L89)&gt;0,SUBTOTAL(109,L89),
IF(SUBTOTAL(109,L88)&gt;0,SUBTOTAL(109,L88),
IF(SUBTOTAL(109,L87)&gt;0,SUBTOTAL(109,L87),
IF(SUBTOTAL(109,L86)&gt;0,SUBTOTAL(109,L86),
IF(SUBTOTAL(109,L85)&gt;0,SUBTOTAL(109,L85),
IF(SUBTOTAL(109,L84)&gt;0,SUBTOTAL(109,L84),
IF(SUBTOTAL(109,L83)&gt;0,SUBTOTAL(109,L83),
IF(SUBTOTAL(109,L82)&gt;0,SUBTOTAL(109,L82),
IF(SUBTOTAL(109,L81)&gt;0,SUBTOTAL(109,L81),
IF(SUBTOTAL(109,L80)&gt;0,SUBTOTAL(109,L81),
IF(SUBTOTAL(109,L79)&gt;0,SUBTOTAL(109,L79),
IF(SUBTOTAL(109,L78)&gt;0,SUBTOTAL(109,L78),
IF(SUBTOTAL(109,L77)&gt;0,SUBTOTAL(109,L77),
IF(SUBTOTAL(109,L76)&gt;0,SUBTOTAL(109,L76),
IF(SUBTOTAL(109,L75)&gt;0,SUBTOTAL(109,L75),
IF(SUBTOTAL(109,L74)&gt;0,SUBTOTAL(109,L74),
IF(SUBTOTAL(109,L73)&gt;0,SUBTOTAL(109,L73),
IF(SUBTOTAL(109,L72)&gt;0,SUBTOTAL(109,L72),
))))))))))))))))))),1,0)</f>
        <v>0</v>
      </c>
      <c r="E91" s="983">
        <f>IF(AND(Расходы_2[[#This Row],[КЦ]]="14561Э",M90="14561Т"),1,
IF(Расходы_2[[#This Row],[КЦ]]&gt;
IF(SUBTOTAL(109,M90)&gt;0,SUBTOTAL(109,M90),
IF(SUBTOTAL(109,M89)&gt;0,SUBTOTAL(109,M89),
IF(SUBTOTAL(109,M88)&gt;0,SUBTOTAL(109,M88),
IF(SUBTOTAL(109,M87)&gt;0,SUBTOTAL(109,M87),
IF(SUBTOTAL(109,M86)&gt;0,SUBTOTAL(109,M86),
IF(SUBTOTAL(109,M85)&gt;0,SUBTOTAL(109,M85))))))),1,0))</f>
        <v>0</v>
      </c>
      <c r="F91" s="983">
        <f>IF(Расходы_2[[#This Row],[КОСГУ]]&gt;
IF(SUBTOTAL(109,N90)&gt;0,SUBTOTAL(109,N90),
IF(SUBTOTAL(109,N89)&gt;0,SUBTOTAL(109,N89),
IF(SUBTOTAL(109,N88)&gt;0,SUBTOTAL(109,N88),
IF(SUBTOTAL(109,N87)&gt;0,SUBTOTAL(109,N87),
IF(SUBTOTAL(109,N86)&gt;0,SUBTOTAL(109,N86),
IF(SUBTOTAL(109,N85)&gt;0,SUBTOTAL(109,N85),
IF(SUBTOTAL(109,N84)&gt;0,SUBTOTAL(109,N84),
IF(SUBTOTAL(109,N83)&gt;0,SUBTOTAL(109,N83),
IF(SUBTOTAL(109,N82)&gt;0,SUBTOTAL(109,N82),
IF(SUBTOTAL(109,N81)&gt;0,SUBTOTAL(109,N81),
IF(SUBTOTAL(109,N80)&gt;0,SUBTOTAL(109,N81),
IF(SUBTOTAL(109,N79)&gt;0,SUBTOTAL(109,N79),
IF(SUBTOTAL(109,N78)&gt;0,SUBTOTAL(109,N78),
IF(SUBTOTAL(109,N77)&gt;0,SUBTOTAL(109,N77),
IF(SUBTOTAL(109,N76)&gt;0,SUBTOTAL(109,N76),
IF(SUBTOTAL(109,N75)&gt;0,SUBTOTAL(109,N75),
IF(SUBTOTAL(109,N74)&gt;0,SUBTOTAL(109,N74),
IF(SUBTOTAL(109,N73)&gt;0,SUBTOTAL(109,N73),
IF(SUBTOTAL(109,N72)&gt;0,SUBTOTAL(109,N72),
))))))))))))))))))),1,0)</f>
        <v>1</v>
      </c>
      <c r="G91" s="983" t="e">
        <f ca="1">_xlfn.AGGREGATE(9,5,$D$69:D91)</f>
        <v>#NAME?</v>
      </c>
      <c r="H91" s="983" t="e">
        <f ca="1">_xlfn.AGGREGATE(9,5,$E$69:E91)</f>
        <v>#NAME?</v>
      </c>
      <c r="I91" s="983" t="e">
        <f ca="1">_xlfn.AGGREGATE(9,5,$F$69:F91)</f>
        <v>#NAME?</v>
      </c>
      <c r="J91" s="964" t="str">
        <f>IF(SUM(Расходы_2[[#This Row],[2 025]:[2 027]])=0,"000",".")</f>
        <v>000</v>
      </c>
      <c r="K91" s="965">
        <v>2</v>
      </c>
      <c r="L91" s="908">
        <v>244</v>
      </c>
      <c r="M91" s="966"/>
      <c r="N91" s="908">
        <v>341</v>
      </c>
      <c r="O91" s="967"/>
      <c r="P91" s="967"/>
      <c r="Q91" s="967"/>
      <c r="R91" s="1239" t="s">
        <v>247</v>
      </c>
      <c r="S91" s="1128"/>
      <c r="Y91" s="959"/>
      <c r="Z91" s="959"/>
      <c r="AA91" s="959"/>
      <c r="AB91" s="963"/>
      <c r="AE91" s="51">
        <f>COUNT(102,$AF$69:AF91)-1</f>
        <v>23</v>
      </c>
      <c r="AF91" s="50">
        <v>1</v>
      </c>
    </row>
    <row r="92" spans="1:32" ht="20.25" customHeight="1">
      <c r="A92" s="983">
        <f>IF(Расходы_2[[#This Row],[КВР]]&gt;=
IF(SUBTOTAL(109,L91)&gt;0,SUBTOTAL(109,L91),
IF(SUBTOTAL(109,L90)&gt;0,SUBTOTAL(109,L90),
IF(SUBTOTAL(109,L89)&gt;0,SUBTOTAL(109,L89),
IF(SUBTOTAL(109,L88)&gt;0,SUBTOTAL(109,L88),
IF(SUBTOTAL(109,L87)&gt;0,SUBTOTAL(109,L87),
IF(SUBTOTAL(109,L86)&gt;0,SUBTOTAL(109,L86),
IF(SUBTOTAL(109,L85)&gt;0,SUBTOTAL(109,L85),
IF(SUBTOTAL(109,L84)&gt;0,SUBTOTAL(109,L84),
IF(SUBTOTAL(109,L83)&gt;0,SUBTOTAL(109,L83),
IF(SUBTOTAL(109,L82)&gt;0,SUBTOTAL(109,L82),
IF(SUBTOTAL(109,L81)&gt;0,SUBTOTAL(109,L82),
IF(SUBTOTAL(109,L80)&gt;0,SUBTOTAL(109,L80),
IF(SUBTOTAL(109,L79)&gt;0,SUBTOTAL(109,L79),
IF(SUBTOTAL(109,L78)&gt;0,SUBTOTAL(109,L78),
IF(SUBTOTAL(109,L77)&gt;0,SUBTOTAL(109,L77),
IF(SUBTOTAL(109,L76)&gt;0,SUBTOTAL(109,L76),
IF(SUBTOTAL(109,L75)&gt;0,SUBTOTAL(109,L75),
IF(SUBTOTAL(109,L74)&gt;0,SUBTOTAL(109,L74),
IF(SUBTOTAL(109,L73)&gt;0,SUBTOTAL(109,L73),
))))))))))))))))))),1,0)</f>
        <v>1</v>
      </c>
      <c r="B92" s="983"/>
      <c r="C92" s="983">
        <f>IF(Расходы_2[[#This Row],[КОСГУ]]&gt;=
IF(SUBTOTAL(109,N91)&gt;0,SUBTOTAL(109,N91),
IF(SUBTOTAL(109,N90)&gt;0,SUBTOTAL(109,N90),
IF(SUBTOTAL(109,N89)&gt;0,SUBTOTAL(109,N89),
IF(SUBTOTAL(109,N88)&gt;0,SUBTOTAL(109,N88),
IF(SUBTOTAL(109,N87)&gt;0,SUBTOTAL(109,N87),
IF(SUBTOTAL(109,N86)&gt;0,SUBTOTAL(109,N86),
IF(SUBTOTAL(109,N85)&gt;0,SUBTOTAL(109,N85),
IF(SUBTOTAL(109,N84)&gt;0,SUBTOTAL(109,N84),
IF(SUBTOTAL(109,N83)&gt;0,SUBTOTAL(109,N83),
IF(SUBTOTAL(109,N82)&gt;0,SUBTOTAL(109,N82),
IF(SUBTOTAL(109,N81)&gt;0,SUBTOTAL(109,N82),
IF(SUBTOTAL(109,N80)&gt;0,SUBTOTAL(109,N80),
IF(SUBTOTAL(109,N79)&gt;0,SUBTOTAL(109,N79),
IF(SUBTOTAL(109,N78)&gt;0,SUBTOTAL(109,N78),
IF(SUBTOTAL(109,N77)&gt;0,SUBTOTAL(109,N77),
IF(SUBTOTAL(109,N76)&gt;0,SUBTOTAL(109,N76),
IF(SUBTOTAL(109,N75)&gt;0,SUBTOTAL(109,N75),
IF(SUBTOTAL(109,N74)&gt;0,SUBTOTAL(109,N74),
IF(SUBTOTAL(109,N73)&gt;0,SUBTOTAL(109,N73),
))))))))))))))))))),1,0)</f>
        <v>1</v>
      </c>
      <c r="D92" s="983">
        <f>IF(Расходы_2[[#This Row],[КВР]]&gt;
IF(SUBTOTAL(109,L91)&gt;0,SUBTOTAL(109,L91),
IF(SUBTOTAL(109,L90)&gt;0,SUBTOTAL(109,L90),
IF(SUBTOTAL(109,L89)&gt;0,SUBTOTAL(109,L89),
IF(SUBTOTAL(109,L88)&gt;0,SUBTOTAL(109,L88),
IF(SUBTOTAL(109,L87)&gt;0,SUBTOTAL(109,L87),
IF(SUBTOTAL(109,L86)&gt;0,SUBTOTAL(109,L86),
IF(SUBTOTAL(109,L85)&gt;0,SUBTOTAL(109,L85),
IF(SUBTOTAL(109,L84)&gt;0,SUBTOTAL(109,L84),
IF(SUBTOTAL(109,L83)&gt;0,SUBTOTAL(109,L83),
IF(SUBTOTAL(109,L82)&gt;0,SUBTOTAL(109,L82),
IF(SUBTOTAL(109,L81)&gt;0,SUBTOTAL(109,L82),
IF(SUBTOTAL(109,L80)&gt;0,SUBTOTAL(109,L80),
IF(SUBTOTAL(109,L79)&gt;0,SUBTOTAL(109,L79),
IF(SUBTOTAL(109,L78)&gt;0,SUBTOTAL(109,L78),
IF(SUBTOTAL(109,L77)&gt;0,SUBTOTAL(109,L77),
IF(SUBTOTAL(109,L76)&gt;0,SUBTOTAL(109,L76),
IF(SUBTOTAL(109,L75)&gt;0,SUBTOTAL(109,L75),
IF(SUBTOTAL(109,L74)&gt;0,SUBTOTAL(109,L74),
IF(SUBTOTAL(109,L73)&gt;0,SUBTOTAL(109,L73),
))))))))))))))))))),1,0)</f>
        <v>0</v>
      </c>
      <c r="E92" s="983">
        <f>IF(AND(Расходы_2[[#This Row],[КЦ]]="14561Э",M91="14561Т"),1,
IF(Расходы_2[[#This Row],[КЦ]]&gt;
IF(SUBTOTAL(109,M91)&gt;0,SUBTOTAL(109,M91),
IF(SUBTOTAL(109,M90)&gt;0,SUBTOTAL(109,M90),
IF(SUBTOTAL(109,M89)&gt;0,SUBTOTAL(109,M89),
IF(SUBTOTAL(109,M88)&gt;0,SUBTOTAL(109,M88),
IF(SUBTOTAL(109,M87)&gt;0,SUBTOTAL(109,M87),
IF(SUBTOTAL(109,M86)&gt;0,SUBTOTAL(109,M86))))))),1,0))</f>
        <v>0</v>
      </c>
      <c r="F92" s="983">
        <f>IF(Расходы_2[[#This Row],[КОСГУ]]&gt;
IF(SUBTOTAL(109,N91)&gt;0,SUBTOTAL(109,N91),
IF(SUBTOTAL(109,N90)&gt;0,SUBTOTAL(109,N90),
IF(SUBTOTAL(109,N89)&gt;0,SUBTOTAL(109,N89),
IF(SUBTOTAL(109,N88)&gt;0,SUBTOTAL(109,N88),
IF(SUBTOTAL(109,N87)&gt;0,SUBTOTAL(109,N87),
IF(SUBTOTAL(109,N86)&gt;0,SUBTOTAL(109,N86),
IF(SUBTOTAL(109,N85)&gt;0,SUBTOTAL(109,N85),
IF(SUBTOTAL(109,N84)&gt;0,SUBTOTAL(109,N84),
IF(SUBTOTAL(109,N83)&gt;0,SUBTOTAL(109,N83),
IF(SUBTOTAL(109,N82)&gt;0,SUBTOTAL(109,N82),
IF(SUBTOTAL(109,N81)&gt;0,SUBTOTAL(109,N82),
IF(SUBTOTAL(109,N80)&gt;0,SUBTOTAL(109,N80),
IF(SUBTOTAL(109,N79)&gt;0,SUBTOTAL(109,N79),
IF(SUBTOTAL(109,N78)&gt;0,SUBTOTAL(109,N78),
IF(SUBTOTAL(109,N77)&gt;0,SUBTOTAL(109,N77),
IF(SUBTOTAL(109,N76)&gt;0,SUBTOTAL(109,N76),
IF(SUBTOTAL(109,N75)&gt;0,SUBTOTAL(109,N75),
IF(SUBTOTAL(109,N74)&gt;0,SUBTOTAL(109,N74),
IF(SUBTOTAL(109,N73)&gt;0,SUBTOTAL(109,N73),
))))))))))))))))))),1,0)</f>
        <v>1</v>
      </c>
      <c r="G92" s="983" t="e">
        <f ca="1">_xlfn.AGGREGATE(9,5,$D$69:D92)</f>
        <v>#NAME?</v>
      </c>
      <c r="H92" s="983" t="e">
        <f ca="1">_xlfn.AGGREGATE(9,5,$E$69:E92)</f>
        <v>#NAME?</v>
      </c>
      <c r="I92" s="983" t="e">
        <f ca="1">_xlfn.AGGREGATE(9,5,$F$69:F92)</f>
        <v>#NAME?</v>
      </c>
      <c r="J92" s="964" t="str">
        <f>IF(SUM(Расходы_2[[#This Row],[2 025]:[2 027]])=0,"000",".")</f>
        <v>000</v>
      </c>
      <c r="K92" s="965">
        <v>2</v>
      </c>
      <c r="L92" s="908">
        <v>244</v>
      </c>
      <c r="M92" s="966"/>
      <c r="N92" s="908">
        <v>342</v>
      </c>
      <c r="O92" s="967"/>
      <c r="P92" s="967"/>
      <c r="Q92" s="967"/>
      <c r="R92" s="1239" t="s">
        <v>248</v>
      </c>
      <c r="S92" s="1128"/>
      <c r="Y92" s="959"/>
      <c r="Z92" s="959"/>
      <c r="AA92" s="959"/>
      <c r="AB92" s="963"/>
      <c r="AE92" s="51">
        <f>COUNT(102,$AF$69:AF92)-1</f>
        <v>24</v>
      </c>
      <c r="AF92" s="50">
        <v>1</v>
      </c>
    </row>
    <row r="93" spans="1:32" ht="20.25" customHeight="1">
      <c r="A93" s="983">
        <f>IF(Расходы_2[[#This Row],[КВР]]&gt;=
IF(SUBTOTAL(109,L92)&gt;0,SUBTOTAL(109,L92),
IF(SUBTOTAL(109,L91)&gt;0,SUBTOTAL(109,L91),
IF(SUBTOTAL(109,L90)&gt;0,SUBTOTAL(109,L90),
IF(SUBTOTAL(109,L89)&gt;0,SUBTOTAL(109,L89),
IF(SUBTOTAL(109,L88)&gt;0,SUBTOTAL(109,L88),
IF(SUBTOTAL(109,L87)&gt;0,SUBTOTAL(109,L87),
IF(SUBTOTAL(109,L86)&gt;0,SUBTOTAL(109,L86),
IF(SUBTOTAL(109,L85)&gt;0,SUBTOTAL(109,L85),
IF(SUBTOTAL(109,L84)&gt;0,SUBTOTAL(109,L84),
IF(SUBTOTAL(109,L83)&gt;0,SUBTOTAL(109,L83),
IF(SUBTOTAL(109,L82)&gt;0,SUBTOTAL(109,L83),
IF(SUBTOTAL(109,L81)&gt;0,SUBTOTAL(109,L81),
IF(SUBTOTAL(109,L80)&gt;0,SUBTOTAL(109,L80),
IF(SUBTOTAL(109,L79)&gt;0,SUBTOTAL(109,L79),
IF(SUBTOTAL(109,L78)&gt;0,SUBTOTAL(109,L78),
IF(SUBTOTAL(109,L77)&gt;0,SUBTOTAL(109,L77),
IF(SUBTOTAL(109,L76)&gt;0,SUBTOTAL(109,L76),
IF(SUBTOTAL(109,L75)&gt;0,SUBTOTAL(109,L75),
IF(SUBTOTAL(109,L74)&gt;0,SUBTOTAL(109,L74),
))))))))))))))))))),1,0)</f>
        <v>1</v>
      </c>
      <c r="B93" s="983"/>
      <c r="C93" s="983">
        <f>IF(Расходы_2[[#This Row],[КОСГУ]]&gt;=
IF(SUBTOTAL(109,N92)&gt;0,SUBTOTAL(109,N92),
IF(SUBTOTAL(109,N91)&gt;0,SUBTOTAL(109,N91),
IF(SUBTOTAL(109,N90)&gt;0,SUBTOTAL(109,N90),
IF(SUBTOTAL(109,N89)&gt;0,SUBTOTAL(109,N89),
IF(SUBTOTAL(109,N88)&gt;0,SUBTOTAL(109,N88),
IF(SUBTOTAL(109,N87)&gt;0,SUBTOTAL(109,N87),
IF(SUBTOTAL(109,N86)&gt;0,SUBTOTAL(109,N86),
IF(SUBTOTAL(109,N85)&gt;0,SUBTOTAL(109,N85),
IF(SUBTOTAL(109,N84)&gt;0,SUBTOTAL(109,N84),
IF(SUBTOTAL(109,N83)&gt;0,SUBTOTAL(109,N83),
IF(SUBTOTAL(109,N82)&gt;0,SUBTOTAL(109,N83),
IF(SUBTOTAL(109,N81)&gt;0,SUBTOTAL(109,N81),
IF(SUBTOTAL(109,N80)&gt;0,SUBTOTAL(109,N80),
IF(SUBTOTAL(109,N79)&gt;0,SUBTOTAL(109,N79),
IF(SUBTOTAL(109,N78)&gt;0,SUBTOTAL(109,N78),
IF(SUBTOTAL(109,N77)&gt;0,SUBTOTAL(109,N77),
IF(SUBTOTAL(109,N76)&gt;0,SUBTOTAL(109,N76),
IF(SUBTOTAL(109,N75)&gt;0,SUBTOTAL(109,N75),
IF(SUBTOTAL(109,N74)&gt;0,SUBTOTAL(109,N74),
))))))))))))))))))),1,0)</f>
        <v>1</v>
      </c>
      <c r="D93" s="983">
        <f>IF(Расходы_2[[#This Row],[КВР]]&gt;
IF(SUBTOTAL(109,L92)&gt;0,SUBTOTAL(109,L92),
IF(SUBTOTAL(109,L91)&gt;0,SUBTOTAL(109,L91),
IF(SUBTOTAL(109,L90)&gt;0,SUBTOTAL(109,L90),
IF(SUBTOTAL(109,L89)&gt;0,SUBTOTAL(109,L89),
IF(SUBTOTAL(109,L88)&gt;0,SUBTOTAL(109,L88),
IF(SUBTOTAL(109,L87)&gt;0,SUBTOTAL(109,L87),
IF(SUBTOTAL(109,L86)&gt;0,SUBTOTAL(109,L86),
IF(SUBTOTAL(109,L85)&gt;0,SUBTOTAL(109,L85),
IF(SUBTOTAL(109,L84)&gt;0,SUBTOTAL(109,L84),
IF(SUBTOTAL(109,L83)&gt;0,SUBTOTAL(109,L83),
IF(SUBTOTAL(109,L82)&gt;0,SUBTOTAL(109,L83),
IF(SUBTOTAL(109,L81)&gt;0,SUBTOTAL(109,L81),
IF(SUBTOTAL(109,L80)&gt;0,SUBTOTAL(109,L80),
IF(SUBTOTAL(109,L79)&gt;0,SUBTOTAL(109,L79),
IF(SUBTOTAL(109,L78)&gt;0,SUBTOTAL(109,L78),
IF(SUBTOTAL(109,L77)&gt;0,SUBTOTAL(109,L77),
IF(SUBTOTAL(109,L76)&gt;0,SUBTOTAL(109,L76),
IF(SUBTOTAL(109,L75)&gt;0,SUBTOTAL(109,L75),
IF(SUBTOTAL(109,L74)&gt;0,SUBTOTAL(109,L74),
))))))))))))))))))),1,0)</f>
        <v>0</v>
      </c>
      <c r="E93" s="983">
        <f>IF(AND(Расходы_2[[#This Row],[КЦ]]="14561Э",M92="14561Т"),1,
IF(Расходы_2[[#This Row],[КЦ]]&gt;
IF(SUBTOTAL(109,M92)&gt;0,SUBTOTAL(109,M92),
IF(SUBTOTAL(109,M91)&gt;0,SUBTOTAL(109,M91),
IF(SUBTOTAL(109,M90)&gt;0,SUBTOTAL(109,M90),
IF(SUBTOTAL(109,M89)&gt;0,SUBTOTAL(109,M89),
IF(SUBTOTAL(109,M88)&gt;0,SUBTOTAL(109,M88),
IF(SUBTOTAL(109,M87)&gt;0,SUBTOTAL(109,M87))))))),1,0))</f>
        <v>0</v>
      </c>
      <c r="F93" s="983">
        <f>IF(Расходы_2[[#This Row],[КОСГУ]]&gt;
IF(SUBTOTAL(109,N92)&gt;0,SUBTOTAL(109,N92),
IF(SUBTOTAL(109,N91)&gt;0,SUBTOTAL(109,N91),
IF(SUBTOTAL(109,N90)&gt;0,SUBTOTAL(109,N90),
IF(SUBTOTAL(109,N89)&gt;0,SUBTOTAL(109,N89),
IF(SUBTOTAL(109,N88)&gt;0,SUBTOTAL(109,N88),
IF(SUBTOTAL(109,N87)&gt;0,SUBTOTAL(109,N87),
IF(SUBTOTAL(109,N86)&gt;0,SUBTOTAL(109,N86),
IF(SUBTOTAL(109,N85)&gt;0,SUBTOTAL(109,N85),
IF(SUBTOTAL(109,N84)&gt;0,SUBTOTAL(109,N84),
IF(SUBTOTAL(109,N83)&gt;0,SUBTOTAL(109,N83),
IF(SUBTOTAL(109,N82)&gt;0,SUBTOTAL(109,N83),
IF(SUBTOTAL(109,N81)&gt;0,SUBTOTAL(109,N81),
IF(SUBTOTAL(109,N80)&gt;0,SUBTOTAL(109,N80),
IF(SUBTOTAL(109,N79)&gt;0,SUBTOTAL(109,N79),
IF(SUBTOTAL(109,N78)&gt;0,SUBTOTAL(109,N78),
IF(SUBTOTAL(109,N77)&gt;0,SUBTOTAL(109,N77),
IF(SUBTOTAL(109,N76)&gt;0,SUBTOTAL(109,N76),
IF(SUBTOTAL(109,N75)&gt;0,SUBTOTAL(109,N75),
IF(SUBTOTAL(109,N74)&gt;0,SUBTOTAL(109,N74),
))))))))))))))))))),1,0)</f>
        <v>1</v>
      </c>
      <c r="G93" s="983" t="e">
        <f ca="1">_xlfn.AGGREGATE(9,5,$D$69:D93)</f>
        <v>#NAME?</v>
      </c>
      <c r="H93" s="983" t="e">
        <f ca="1">_xlfn.AGGREGATE(9,5,$E$69:E93)</f>
        <v>#NAME?</v>
      </c>
      <c r="I93" s="983" t="e">
        <f ca="1">_xlfn.AGGREGATE(9,5,$F$69:F93)</f>
        <v>#NAME?</v>
      </c>
      <c r="J93" s="964" t="str">
        <f>IF(SUM(Расходы_2[[#This Row],[2 025]:[2 027]])=0,"000",".")</f>
        <v>000</v>
      </c>
      <c r="K93" s="965">
        <v>2</v>
      </c>
      <c r="L93" s="908">
        <v>244</v>
      </c>
      <c r="M93" s="966"/>
      <c r="N93" s="908">
        <v>343</v>
      </c>
      <c r="O93" s="967"/>
      <c r="P93" s="967"/>
      <c r="Q93" s="967"/>
      <c r="R93" s="1239" t="s">
        <v>249</v>
      </c>
      <c r="S93" s="1128"/>
      <c r="Y93" s="959"/>
      <c r="Z93" s="959"/>
      <c r="AA93" s="959"/>
      <c r="AB93" s="963"/>
      <c r="AE93" s="51">
        <f>COUNT(102,$AF$69:AF93)-1</f>
        <v>25</v>
      </c>
      <c r="AF93" s="50">
        <v>1</v>
      </c>
    </row>
    <row r="94" spans="1:32" ht="20.25" customHeight="1">
      <c r="A94" s="983">
        <f>IF(Расходы_2[[#This Row],[КВР]]&gt;=
IF(SUBTOTAL(109,L93)&gt;0,SUBTOTAL(109,L93),
IF(SUBTOTAL(109,L92)&gt;0,SUBTOTAL(109,L92),
IF(SUBTOTAL(109,L91)&gt;0,SUBTOTAL(109,L91),
IF(SUBTOTAL(109,L90)&gt;0,SUBTOTAL(109,L90),
IF(SUBTOTAL(109,L89)&gt;0,SUBTOTAL(109,L89),
IF(SUBTOTAL(109,L88)&gt;0,SUBTOTAL(109,L88),
IF(SUBTOTAL(109,L87)&gt;0,SUBTOTAL(109,L87),
IF(SUBTOTAL(109,L86)&gt;0,SUBTOTAL(109,L86),
IF(SUBTOTAL(109,L85)&gt;0,SUBTOTAL(109,L85),
IF(SUBTOTAL(109,L84)&gt;0,SUBTOTAL(109,L84),
IF(SUBTOTAL(109,L83)&gt;0,SUBTOTAL(109,L84),
IF(SUBTOTAL(109,L82)&gt;0,SUBTOTAL(109,L82),
IF(SUBTOTAL(109,L81)&gt;0,SUBTOTAL(109,L81),
IF(SUBTOTAL(109,L80)&gt;0,SUBTOTAL(109,L80),
IF(SUBTOTAL(109,L79)&gt;0,SUBTOTAL(109,L79),
IF(SUBTOTAL(109,L78)&gt;0,SUBTOTAL(109,L78),
IF(SUBTOTAL(109,L77)&gt;0,SUBTOTAL(109,L77),
IF(SUBTOTAL(109,L76)&gt;0,SUBTOTAL(109,L76),
IF(SUBTOTAL(109,L75)&gt;0,SUBTOTAL(109,L75),
))))))))))))))))))),1,0)</f>
        <v>1</v>
      </c>
      <c r="B94" s="983"/>
      <c r="C94" s="983">
        <f>IF(Расходы_2[[#This Row],[КОСГУ]]&gt;=
IF(SUBTOTAL(109,N93)&gt;0,SUBTOTAL(109,N93),
IF(SUBTOTAL(109,N92)&gt;0,SUBTOTAL(109,N92),
IF(SUBTOTAL(109,N91)&gt;0,SUBTOTAL(109,N91),
IF(SUBTOTAL(109,N90)&gt;0,SUBTOTAL(109,N90),
IF(SUBTOTAL(109,N89)&gt;0,SUBTOTAL(109,N89),
IF(SUBTOTAL(109,N88)&gt;0,SUBTOTAL(109,N88),
IF(SUBTOTAL(109,N87)&gt;0,SUBTOTAL(109,N87),
IF(SUBTOTAL(109,N86)&gt;0,SUBTOTAL(109,N86),
IF(SUBTOTAL(109,N85)&gt;0,SUBTOTAL(109,N85),
IF(SUBTOTAL(109,N84)&gt;0,SUBTOTAL(109,N84),
IF(SUBTOTAL(109,N83)&gt;0,SUBTOTAL(109,N84),
IF(SUBTOTAL(109,N82)&gt;0,SUBTOTAL(109,N82),
IF(SUBTOTAL(109,N81)&gt;0,SUBTOTAL(109,N81),
IF(SUBTOTAL(109,N80)&gt;0,SUBTOTAL(109,N80),
IF(SUBTOTAL(109,N79)&gt;0,SUBTOTAL(109,N79),
IF(SUBTOTAL(109,N78)&gt;0,SUBTOTAL(109,N78),
IF(SUBTOTAL(109,N77)&gt;0,SUBTOTAL(109,N77),
IF(SUBTOTAL(109,N76)&gt;0,SUBTOTAL(109,N76),
IF(SUBTOTAL(109,N75)&gt;0,SUBTOTAL(109,N75),
))))))))))))))))))),1,0)</f>
        <v>1</v>
      </c>
      <c r="D94" s="983">
        <f>IF(Расходы_2[[#This Row],[КВР]]&gt;
IF(SUBTOTAL(109,L93)&gt;0,SUBTOTAL(109,L93),
IF(SUBTOTAL(109,L92)&gt;0,SUBTOTAL(109,L92),
IF(SUBTOTAL(109,L91)&gt;0,SUBTOTAL(109,L91),
IF(SUBTOTAL(109,L90)&gt;0,SUBTOTAL(109,L90),
IF(SUBTOTAL(109,L89)&gt;0,SUBTOTAL(109,L89),
IF(SUBTOTAL(109,L88)&gt;0,SUBTOTAL(109,L88),
IF(SUBTOTAL(109,L87)&gt;0,SUBTOTAL(109,L87),
IF(SUBTOTAL(109,L86)&gt;0,SUBTOTAL(109,L86),
IF(SUBTOTAL(109,L85)&gt;0,SUBTOTAL(109,L85),
IF(SUBTOTAL(109,L84)&gt;0,SUBTOTAL(109,L84),
IF(SUBTOTAL(109,L83)&gt;0,SUBTOTAL(109,L84),
IF(SUBTOTAL(109,L82)&gt;0,SUBTOTAL(109,L82),
IF(SUBTOTAL(109,L81)&gt;0,SUBTOTAL(109,L81),
IF(SUBTOTAL(109,L80)&gt;0,SUBTOTAL(109,L80),
IF(SUBTOTAL(109,L79)&gt;0,SUBTOTAL(109,L79),
IF(SUBTOTAL(109,L78)&gt;0,SUBTOTAL(109,L78),
IF(SUBTOTAL(109,L77)&gt;0,SUBTOTAL(109,L77),
IF(SUBTOTAL(109,L76)&gt;0,SUBTOTAL(109,L76),
IF(SUBTOTAL(109,L75)&gt;0,SUBTOTAL(109,L75),
))))))))))))))))))),1,0)</f>
        <v>0</v>
      </c>
      <c r="E94" s="983">
        <f>IF(AND(Расходы_2[[#This Row],[КЦ]]="14561Э",M93="14561Т"),1,
IF(Расходы_2[[#This Row],[КЦ]]&gt;
IF(SUBTOTAL(109,M93)&gt;0,SUBTOTAL(109,M93),
IF(SUBTOTAL(109,M92)&gt;0,SUBTOTAL(109,M92),
IF(SUBTOTAL(109,M91)&gt;0,SUBTOTAL(109,M91),
IF(SUBTOTAL(109,M90)&gt;0,SUBTOTAL(109,M90),
IF(SUBTOTAL(109,M89)&gt;0,SUBTOTAL(109,M89),
IF(SUBTOTAL(109,M88)&gt;0,SUBTOTAL(109,M88))))))),1,0))</f>
        <v>0</v>
      </c>
      <c r="F94" s="983">
        <f>IF(Расходы_2[[#This Row],[КОСГУ]]&gt;
IF(SUBTOTAL(109,N93)&gt;0,SUBTOTAL(109,N93),
IF(SUBTOTAL(109,N92)&gt;0,SUBTOTAL(109,N92),
IF(SUBTOTAL(109,N91)&gt;0,SUBTOTAL(109,N91),
IF(SUBTOTAL(109,N90)&gt;0,SUBTOTAL(109,N90),
IF(SUBTOTAL(109,N89)&gt;0,SUBTOTAL(109,N89),
IF(SUBTOTAL(109,N88)&gt;0,SUBTOTAL(109,N88),
IF(SUBTOTAL(109,N87)&gt;0,SUBTOTAL(109,N87),
IF(SUBTOTAL(109,N86)&gt;0,SUBTOTAL(109,N86),
IF(SUBTOTAL(109,N85)&gt;0,SUBTOTAL(109,N85),
IF(SUBTOTAL(109,N84)&gt;0,SUBTOTAL(109,N84),
IF(SUBTOTAL(109,N83)&gt;0,SUBTOTAL(109,N84),
IF(SUBTOTAL(109,N82)&gt;0,SUBTOTAL(109,N82),
IF(SUBTOTAL(109,N81)&gt;0,SUBTOTAL(109,N81),
IF(SUBTOTAL(109,N80)&gt;0,SUBTOTAL(109,N80),
IF(SUBTOTAL(109,N79)&gt;0,SUBTOTAL(109,N79),
IF(SUBTOTAL(109,N78)&gt;0,SUBTOTAL(109,N78),
IF(SUBTOTAL(109,N77)&gt;0,SUBTOTAL(109,N77),
IF(SUBTOTAL(109,N76)&gt;0,SUBTOTAL(109,N76),
IF(SUBTOTAL(109,N75)&gt;0,SUBTOTAL(109,N75),
))))))))))))))))))),1,0)</f>
        <v>1</v>
      </c>
      <c r="G94" s="983" t="e">
        <f ca="1">_xlfn.AGGREGATE(9,5,$D$69:D94)</f>
        <v>#NAME?</v>
      </c>
      <c r="H94" s="983" t="e">
        <f ca="1">_xlfn.AGGREGATE(9,5,$E$69:E94)</f>
        <v>#NAME?</v>
      </c>
      <c r="I94" s="983" t="e">
        <f ca="1">_xlfn.AGGREGATE(9,5,$F$69:F94)</f>
        <v>#NAME?</v>
      </c>
      <c r="J94" s="964" t="str">
        <f>IF(SUM(Расходы_2[[#This Row],[2 025]:[2 027]])=0,"000",".")</f>
        <v>000</v>
      </c>
      <c r="K94" s="965">
        <v>2</v>
      </c>
      <c r="L94" s="908">
        <v>244</v>
      </c>
      <c r="M94" s="966"/>
      <c r="N94" s="908">
        <v>344</v>
      </c>
      <c r="O94" s="967"/>
      <c r="P94" s="967"/>
      <c r="Q94" s="967"/>
      <c r="R94" s="1239" t="s">
        <v>250</v>
      </c>
      <c r="S94" s="1128"/>
      <c r="Y94" s="959"/>
      <c r="Z94" s="959"/>
      <c r="AA94" s="959"/>
      <c r="AB94" s="963"/>
      <c r="AE94" s="51">
        <f>COUNT(102,$AF$69:AF94)-1</f>
        <v>26</v>
      </c>
      <c r="AF94" s="50">
        <v>1</v>
      </c>
    </row>
    <row r="95" spans="1:32" ht="20.25" customHeight="1">
      <c r="A95" s="983">
        <f>IF(Расходы_2[[#This Row],[КВР]]&gt;=
IF(SUBTOTAL(109,L94)&gt;0,SUBTOTAL(109,L94),
IF(SUBTOTAL(109,L93)&gt;0,SUBTOTAL(109,L93),
IF(SUBTOTAL(109,L92)&gt;0,SUBTOTAL(109,L92),
IF(SUBTOTAL(109,L91)&gt;0,SUBTOTAL(109,L91),
IF(SUBTOTAL(109,L90)&gt;0,SUBTOTAL(109,L90),
IF(SUBTOTAL(109,L89)&gt;0,SUBTOTAL(109,L89),
IF(SUBTOTAL(109,L88)&gt;0,SUBTOTAL(109,L88),
IF(SUBTOTAL(109,L87)&gt;0,SUBTOTAL(109,L87),
IF(SUBTOTAL(109,L86)&gt;0,SUBTOTAL(109,L86),
IF(SUBTOTAL(109,L85)&gt;0,SUBTOTAL(109,L85),
IF(SUBTOTAL(109,L84)&gt;0,SUBTOTAL(109,L85),
IF(SUBTOTAL(109,L83)&gt;0,SUBTOTAL(109,L83),
IF(SUBTOTAL(109,L82)&gt;0,SUBTOTAL(109,L82),
IF(SUBTOTAL(109,L81)&gt;0,SUBTOTAL(109,L81),
IF(SUBTOTAL(109,L80)&gt;0,SUBTOTAL(109,L80),
IF(SUBTOTAL(109,L79)&gt;0,SUBTOTAL(109,L79),
IF(SUBTOTAL(109,L78)&gt;0,SUBTOTAL(109,L78),
IF(SUBTOTAL(109,L77)&gt;0,SUBTOTAL(109,L77),
IF(SUBTOTAL(109,L76)&gt;0,SUBTOTAL(109,L76),
))))))))))))))))))),1,0)</f>
        <v>1</v>
      </c>
      <c r="B95" s="983"/>
      <c r="C95" s="983">
        <f>IF(Расходы_2[[#This Row],[КОСГУ]]&gt;=
IF(SUBTOTAL(109,N94)&gt;0,SUBTOTAL(109,N94),
IF(SUBTOTAL(109,N93)&gt;0,SUBTOTAL(109,N93),
IF(SUBTOTAL(109,N92)&gt;0,SUBTOTAL(109,N92),
IF(SUBTOTAL(109,N91)&gt;0,SUBTOTAL(109,N91),
IF(SUBTOTAL(109,N90)&gt;0,SUBTOTAL(109,N90),
IF(SUBTOTAL(109,N89)&gt;0,SUBTOTAL(109,N89),
IF(SUBTOTAL(109,N88)&gt;0,SUBTOTAL(109,N88),
IF(SUBTOTAL(109,N87)&gt;0,SUBTOTAL(109,N87),
IF(SUBTOTAL(109,N86)&gt;0,SUBTOTAL(109,N86),
IF(SUBTOTAL(109,N85)&gt;0,SUBTOTAL(109,N85),
IF(SUBTOTAL(109,N84)&gt;0,SUBTOTAL(109,N85),
IF(SUBTOTAL(109,N83)&gt;0,SUBTOTAL(109,N83),
IF(SUBTOTAL(109,N82)&gt;0,SUBTOTAL(109,N82),
IF(SUBTOTAL(109,N81)&gt;0,SUBTOTAL(109,N81),
IF(SUBTOTAL(109,N80)&gt;0,SUBTOTAL(109,N80),
IF(SUBTOTAL(109,N79)&gt;0,SUBTOTAL(109,N79),
IF(SUBTOTAL(109,N78)&gt;0,SUBTOTAL(109,N78),
IF(SUBTOTAL(109,N77)&gt;0,SUBTOTAL(109,N77),
IF(SUBTOTAL(109,N76)&gt;0,SUBTOTAL(109,N76),
))))))))))))))))))),1,0)</f>
        <v>1</v>
      </c>
      <c r="D95" s="983">
        <f>IF(Расходы_2[[#This Row],[КВР]]&gt;
IF(SUBTOTAL(109,L94)&gt;0,SUBTOTAL(109,L94),
IF(SUBTOTAL(109,L93)&gt;0,SUBTOTAL(109,L93),
IF(SUBTOTAL(109,L92)&gt;0,SUBTOTAL(109,L92),
IF(SUBTOTAL(109,L91)&gt;0,SUBTOTAL(109,L91),
IF(SUBTOTAL(109,L90)&gt;0,SUBTOTAL(109,L90),
IF(SUBTOTAL(109,L89)&gt;0,SUBTOTAL(109,L89),
IF(SUBTOTAL(109,L88)&gt;0,SUBTOTAL(109,L88),
IF(SUBTOTAL(109,L87)&gt;0,SUBTOTAL(109,L87),
IF(SUBTOTAL(109,L86)&gt;0,SUBTOTAL(109,L86),
IF(SUBTOTAL(109,L85)&gt;0,SUBTOTAL(109,L85),
IF(SUBTOTAL(109,L84)&gt;0,SUBTOTAL(109,L85),
IF(SUBTOTAL(109,L83)&gt;0,SUBTOTAL(109,L83),
IF(SUBTOTAL(109,L82)&gt;0,SUBTOTAL(109,L82),
IF(SUBTOTAL(109,L81)&gt;0,SUBTOTAL(109,L81),
IF(SUBTOTAL(109,L80)&gt;0,SUBTOTAL(109,L80),
IF(SUBTOTAL(109,L79)&gt;0,SUBTOTAL(109,L79),
IF(SUBTOTAL(109,L78)&gt;0,SUBTOTAL(109,L78),
IF(SUBTOTAL(109,L77)&gt;0,SUBTOTAL(109,L77),
IF(SUBTOTAL(109,L76)&gt;0,SUBTOTAL(109,L76),
))))))))))))))))))),1,0)</f>
        <v>0</v>
      </c>
      <c r="E95" s="983">
        <f>IF(AND(Расходы_2[[#This Row],[КЦ]]="14561Э",M94="14561Т"),1,
IF(Расходы_2[[#This Row],[КЦ]]&gt;
IF(SUBTOTAL(109,M94)&gt;0,SUBTOTAL(109,M94),
IF(SUBTOTAL(109,M93)&gt;0,SUBTOTAL(109,M93),
IF(SUBTOTAL(109,M92)&gt;0,SUBTOTAL(109,M92),
IF(SUBTOTAL(109,M91)&gt;0,SUBTOTAL(109,M91),
IF(SUBTOTAL(109,M90)&gt;0,SUBTOTAL(109,M90),
IF(SUBTOTAL(109,M89)&gt;0,SUBTOTAL(109,M89))))))),1,0))</f>
        <v>0</v>
      </c>
      <c r="F95" s="983">
        <f>IF(Расходы_2[[#This Row],[КОСГУ]]&gt;
IF(SUBTOTAL(109,N94)&gt;0,SUBTOTAL(109,N94),
IF(SUBTOTAL(109,N93)&gt;0,SUBTOTAL(109,N93),
IF(SUBTOTAL(109,N92)&gt;0,SUBTOTAL(109,N92),
IF(SUBTOTAL(109,N91)&gt;0,SUBTOTAL(109,N91),
IF(SUBTOTAL(109,N90)&gt;0,SUBTOTAL(109,N90),
IF(SUBTOTAL(109,N89)&gt;0,SUBTOTAL(109,N89),
IF(SUBTOTAL(109,N88)&gt;0,SUBTOTAL(109,N88),
IF(SUBTOTAL(109,N87)&gt;0,SUBTOTAL(109,N87),
IF(SUBTOTAL(109,N86)&gt;0,SUBTOTAL(109,N86),
IF(SUBTOTAL(109,N85)&gt;0,SUBTOTAL(109,N85),
IF(SUBTOTAL(109,N84)&gt;0,SUBTOTAL(109,N85),
IF(SUBTOTAL(109,N83)&gt;0,SUBTOTAL(109,N83),
IF(SUBTOTAL(109,N82)&gt;0,SUBTOTAL(109,N82),
IF(SUBTOTAL(109,N81)&gt;0,SUBTOTAL(109,N81),
IF(SUBTOTAL(109,N80)&gt;0,SUBTOTAL(109,N80),
IF(SUBTOTAL(109,N79)&gt;0,SUBTOTAL(109,N79),
IF(SUBTOTAL(109,N78)&gt;0,SUBTOTAL(109,N78),
IF(SUBTOTAL(109,N77)&gt;0,SUBTOTAL(109,N77),
IF(SUBTOTAL(109,N76)&gt;0,SUBTOTAL(109,N76),
))))))))))))))))))),1,0)</f>
        <v>1</v>
      </c>
      <c r="G95" s="983" t="e">
        <f ca="1">_xlfn.AGGREGATE(9,5,$D$69:D95)</f>
        <v>#NAME?</v>
      </c>
      <c r="H95" s="983" t="e">
        <f ca="1">_xlfn.AGGREGATE(9,5,$E$69:E95)</f>
        <v>#NAME?</v>
      </c>
      <c r="I95" s="983" t="e">
        <f ca="1">_xlfn.AGGREGATE(9,5,$F$69:F95)</f>
        <v>#NAME?</v>
      </c>
      <c r="J95" s="964" t="str">
        <f>IF(SUM(Расходы_2[[#This Row],[2 025]:[2 027]])=0,"000",".")</f>
        <v>000</v>
      </c>
      <c r="K95" s="965">
        <v>2</v>
      </c>
      <c r="L95" s="908">
        <v>244</v>
      </c>
      <c r="M95" s="966"/>
      <c r="N95" s="908">
        <v>345</v>
      </c>
      <c r="O95" s="967"/>
      <c r="P95" s="967"/>
      <c r="Q95" s="967"/>
      <c r="R95" s="1239" t="s">
        <v>251</v>
      </c>
      <c r="S95" s="1128"/>
      <c r="Y95" s="959"/>
      <c r="Z95" s="959"/>
      <c r="AA95" s="959"/>
      <c r="AB95" s="963"/>
      <c r="AE95" s="51">
        <f>COUNT(102,$AF$69:AF95)-1</f>
        <v>27</v>
      </c>
      <c r="AF95" s="50">
        <v>1</v>
      </c>
    </row>
    <row r="96" spans="1:32" ht="20.25" customHeight="1">
      <c r="A96" s="983">
        <f>IF(Расходы_2[[#This Row],[КВР]]&gt;=
IF(SUBTOTAL(109,L95)&gt;0,SUBTOTAL(109,L95),
IF(SUBTOTAL(109,L94)&gt;0,SUBTOTAL(109,L94),
IF(SUBTOTAL(109,L93)&gt;0,SUBTOTAL(109,L93),
IF(SUBTOTAL(109,L92)&gt;0,SUBTOTAL(109,L92),
IF(SUBTOTAL(109,L91)&gt;0,SUBTOTAL(109,L91),
IF(SUBTOTAL(109,L90)&gt;0,SUBTOTAL(109,L90),
IF(SUBTOTAL(109,L89)&gt;0,SUBTOTAL(109,L89),
IF(SUBTOTAL(109,L88)&gt;0,SUBTOTAL(109,L88),
IF(SUBTOTAL(109,L87)&gt;0,SUBTOTAL(109,L87),
IF(SUBTOTAL(109,L86)&gt;0,SUBTOTAL(109,L86),
IF(SUBTOTAL(109,L85)&gt;0,SUBTOTAL(109,L86),
IF(SUBTOTAL(109,L84)&gt;0,SUBTOTAL(109,L84),
IF(SUBTOTAL(109,L83)&gt;0,SUBTOTAL(109,L83),
IF(SUBTOTAL(109,L82)&gt;0,SUBTOTAL(109,L82),
IF(SUBTOTAL(109,L81)&gt;0,SUBTOTAL(109,L81),
IF(SUBTOTAL(109,L80)&gt;0,SUBTOTAL(109,L80),
IF(SUBTOTAL(109,L79)&gt;0,SUBTOTAL(109,L79),
IF(SUBTOTAL(109,L78)&gt;0,SUBTOTAL(109,L78),
IF(SUBTOTAL(109,L77)&gt;0,SUBTOTAL(109,L77),
))))))))))))))))))),1,0)</f>
        <v>1</v>
      </c>
      <c r="B96" s="983"/>
      <c r="C96" s="983">
        <f>IF(Расходы_2[[#This Row],[КОСГУ]]&gt;=
IF(SUBTOTAL(109,N95)&gt;0,SUBTOTAL(109,N95),
IF(SUBTOTAL(109,N94)&gt;0,SUBTOTAL(109,N94),
IF(SUBTOTAL(109,N93)&gt;0,SUBTOTAL(109,N93),
IF(SUBTOTAL(109,N92)&gt;0,SUBTOTAL(109,N92),
IF(SUBTOTAL(109,N91)&gt;0,SUBTOTAL(109,N91),
IF(SUBTOTAL(109,N90)&gt;0,SUBTOTAL(109,N90),
IF(SUBTOTAL(109,N89)&gt;0,SUBTOTAL(109,N89),
IF(SUBTOTAL(109,N88)&gt;0,SUBTOTAL(109,N88),
IF(SUBTOTAL(109,N87)&gt;0,SUBTOTAL(109,N87),
IF(SUBTOTAL(109,N86)&gt;0,SUBTOTAL(109,N86),
IF(SUBTOTAL(109,N85)&gt;0,SUBTOTAL(109,N86),
IF(SUBTOTAL(109,N84)&gt;0,SUBTOTAL(109,N84),
IF(SUBTOTAL(109,N83)&gt;0,SUBTOTAL(109,N83),
IF(SUBTOTAL(109,N82)&gt;0,SUBTOTAL(109,N82),
IF(SUBTOTAL(109,N81)&gt;0,SUBTOTAL(109,N81),
IF(SUBTOTAL(109,N80)&gt;0,SUBTOTAL(109,N80),
IF(SUBTOTAL(109,N79)&gt;0,SUBTOTAL(109,N79),
IF(SUBTOTAL(109,N78)&gt;0,SUBTOTAL(109,N78),
IF(SUBTOTAL(109,N77)&gt;0,SUBTOTAL(109,N77),
))))))))))))))))))),1,0)</f>
        <v>1</v>
      </c>
      <c r="D96" s="983">
        <f>IF(Расходы_2[[#This Row],[КВР]]&gt;
IF(SUBTOTAL(109,L95)&gt;0,SUBTOTAL(109,L95),
IF(SUBTOTAL(109,L94)&gt;0,SUBTOTAL(109,L94),
IF(SUBTOTAL(109,L93)&gt;0,SUBTOTAL(109,L93),
IF(SUBTOTAL(109,L92)&gt;0,SUBTOTAL(109,L92),
IF(SUBTOTAL(109,L91)&gt;0,SUBTOTAL(109,L91),
IF(SUBTOTAL(109,L90)&gt;0,SUBTOTAL(109,L90),
IF(SUBTOTAL(109,L89)&gt;0,SUBTOTAL(109,L89),
IF(SUBTOTAL(109,L88)&gt;0,SUBTOTAL(109,L88),
IF(SUBTOTAL(109,L87)&gt;0,SUBTOTAL(109,L87),
IF(SUBTOTAL(109,L86)&gt;0,SUBTOTAL(109,L86),
IF(SUBTOTAL(109,L85)&gt;0,SUBTOTAL(109,L86),
IF(SUBTOTAL(109,L84)&gt;0,SUBTOTAL(109,L84),
IF(SUBTOTAL(109,L83)&gt;0,SUBTOTAL(109,L83),
IF(SUBTOTAL(109,L82)&gt;0,SUBTOTAL(109,L82),
IF(SUBTOTAL(109,L81)&gt;0,SUBTOTAL(109,L81),
IF(SUBTOTAL(109,L80)&gt;0,SUBTOTAL(109,L80),
IF(SUBTOTAL(109,L79)&gt;0,SUBTOTAL(109,L79),
IF(SUBTOTAL(109,L78)&gt;0,SUBTOTAL(109,L78),
IF(SUBTOTAL(109,L77)&gt;0,SUBTOTAL(109,L77),
))))))))))))))))))),1,0)</f>
        <v>0</v>
      </c>
      <c r="E96" s="983">
        <f>IF(AND(Расходы_2[[#This Row],[КЦ]]="14561Э",M95="14561Т"),1,
IF(Расходы_2[[#This Row],[КЦ]]&gt;
IF(SUBTOTAL(109,M95)&gt;0,SUBTOTAL(109,M95),
IF(SUBTOTAL(109,M94)&gt;0,SUBTOTAL(109,M94),
IF(SUBTOTAL(109,M93)&gt;0,SUBTOTAL(109,M93),
IF(SUBTOTAL(109,M92)&gt;0,SUBTOTAL(109,M92),
IF(SUBTOTAL(109,M91)&gt;0,SUBTOTAL(109,M91),
IF(SUBTOTAL(109,M90)&gt;0,SUBTOTAL(109,M90))))))),1,0))</f>
        <v>0</v>
      </c>
      <c r="F96" s="983">
        <f>IF(Расходы_2[[#This Row],[КОСГУ]]&gt;
IF(SUBTOTAL(109,N95)&gt;0,SUBTOTAL(109,N95),
IF(SUBTOTAL(109,N94)&gt;0,SUBTOTAL(109,N94),
IF(SUBTOTAL(109,N93)&gt;0,SUBTOTAL(109,N93),
IF(SUBTOTAL(109,N92)&gt;0,SUBTOTAL(109,N92),
IF(SUBTOTAL(109,N91)&gt;0,SUBTOTAL(109,N91),
IF(SUBTOTAL(109,N90)&gt;0,SUBTOTAL(109,N90),
IF(SUBTOTAL(109,N89)&gt;0,SUBTOTAL(109,N89),
IF(SUBTOTAL(109,N88)&gt;0,SUBTOTAL(109,N88),
IF(SUBTOTAL(109,N87)&gt;0,SUBTOTAL(109,N87),
IF(SUBTOTAL(109,N86)&gt;0,SUBTOTAL(109,N86),
IF(SUBTOTAL(109,N85)&gt;0,SUBTOTAL(109,N86),
IF(SUBTOTAL(109,N84)&gt;0,SUBTOTAL(109,N84),
IF(SUBTOTAL(109,N83)&gt;0,SUBTOTAL(109,N83),
IF(SUBTOTAL(109,N82)&gt;0,SUBTOTAL(109,N82),
IF(SUBTOTAL(109,N81)&gt;0,SUBTOTAL(109,N81),
IF(SUBTOTAL(109,N80)&gt;0,SUBTOTAL(109,N80),
IF(SUBTOTAL(109,N79)&gt;0,SUBTOTAL(109,N79),
IF(SUBTOTAL(109,N78)&gt;0,SUBTOTAL(109,N78),
IF(SUBTOTAL(109,N77)&gt;0,SUBTOTAL(109,N77),
))))))))))))))))))),1,0)</f>
        <v>1</v>
      </c>
      <c r="G96" s="983" t="e">
        <f ca="1">_xlfn.AGGREGATE(9,5,$D$69:D96)</f>
        <v>#NAME?</v>
      </c>
      <c r="H96" s="983" t="e">
        <f ca="1">_xlfn.AGGREGATE(9,5,$E$69:E96)</f>
        <v>#NAME?</v>
      </c>
      <c r="I96" s="983" t="e">
        <f ca="1">_xlfn.AGGREGATE(9,5,$F$69:F96)</f>
        <v>#NAME?</v>
      </c>
      <c r="J96" s="964" t="str">
        <f>IF(SUM(Расходы_2[[#This Row],[2 025]:[2 027]])=0,"000",".")</f>
        <v>.</v>
      </c>
      <c r="K96" s="965">
        <v>2</v>
      </c>
      <c r="L96" s="908">
        <v>244</v>
      </c>
      <c r="M96" s="966"/>
      <c r="N96" s="908">
        <v>346</v>
      </c>
      <c r="O96" s="967">
        <v>171856.54</v>
      </c>
      <c r="P96" s="967"/>
      <c r="Q96" s="967"/>
      <c r="R96" s="1239" t="s">
        <v>252</v>
      </c>
      <c r="S96" s="1128"/>
      <c r="Y96" s="959"/>
      <c r="Z96" s="959"/>
      <c r="AA96" s="959"/>
      <c r="AB96" s="963"/>
      <c r="AE96" s="51">
        <f>COUNT(102,$AF$69:AF96)-1</f>
        <v>28</v>
      </c>
      <c r="AF96" s="50">
        <v>1</v>
      </c>
    </row>
    <row r="97" spans="1:32" ht="20.25" customHeight="1">
      <c r="A97" s="983">
        <f>IF(Расходы_2[[#This Row],[КВР]]&gt;=
IF(SUBTOTAL(109,L96)&gt;0,SUBTOTAL(109,L96),
IF(SUBTOTAL(109,L95)&gt;0,SUBTOTAL(109,L95),
IF(SUBTOTAL(109,L94)&gt;0,SUBTOTAL(109,L94),
IF(SUBTOTAL(109,L93)&gt;0,SUBTOTAL(109,L93),
IF(SUBTOTAL(109,L92)&gt;0,SUBTOTAL(109,L92),
IF(SUBTOTAL(109,L91)&gt;0,SUBTOTAL(109,L91),
IF(SUBTOTAL(109,L90)&gt;0,SUBTOTAL(109,L90),
IF(SUBTOTAL(109,L89)&gt;0,SUBTOTAL(109,L89),
IF(SUBTOTAL(109,L88)&gt;0,SUBTOTAL(109,L88),
IF(SUBTOTAL(109,L87)&gt;0,SUBTOTAL(109,L87),
IF(SUBTOTAL(109,L86)&gt;0,SUBTOTAL(109,L87),
IF(SUBTOTAL(109,L85)&gt;0,SUBTOTAL(109,L85),
IF(SUBTOTAL(109,L84)&gt;0,SUBTOTAL(109,L84),
IF(SUBTOTAL(109,L83)&gt;0,SUBTOTAL(109,L83),
IF(SUBTOTAL(109,L82)&gt;0,SUBTOTAL(109,L82),
IF(SUBTOTAL(109,L81)&gt;0,SUBTOTAL(109,L81),
IF(SUBTOTAL(109,L80)&gt;0,SUBTOTAL(109,L80),
IF(SUBTOTAL(109,L79)&gt;0,SUBTOTAL(109,L79),
IF(SUBTOTAL(109,L78)&gt;0,SUBTOTAL(109,L78),
))))))))))))))))))),1,0)</f>
        <v>1</v>
      </c>
      <c r="B97" s="983"/>
      <c r="C97" s="983">
        <f>IF(Расходы_2[[#This Row],[КОСГУ]]&gt;=
IF(SUBTOTAL(109,N96)&gt;0,SUBTOTAL(109,N96),
IF(SUBTOTAL(109,N95)&gt;0,SUBTOTAL(109,N95),
IF(SUBTOTAL(109,N94)&gt;0,SUBTOTAL(109,N94),
IF(SUBTOTAL(109,N93)&gt;0,SUBTOTAL(109,N93),
IF(SUBTOTAL(109,N92)&gt;0,SUBTOTAL(109,N92),
IF(SUBTOTAL(109,N91)&gt;0,SUBTOTAL(109,N91),
IF(SUBTOTAL(109,N90)&gt;0,SUBTOTAL(109,N90),
IF(SUBTOTAL(109,N89)&gt;0,SUBTOTAL(109,N89),
IF(SUBTOTAL(109,N88)&gt;0,SUBTOTAL(109,N88),
IF(SUBTOTAL(109,N87)&gt;0,SUBTOTAL(109,N87),
IF(SUBTOTAL(109,N86)&gt;0,SUBTOTAL(109,N87),
IF(SUBTOTAL(109,N85)&gt;0,SUBTOTAL(109,N85),
IF(SUBTOTAL(109,N84)&gt;0,SUBTOTAL(109,N84),
IF(SUBTOTAL(109,N83)&gt;0,SUBTOTAL(109,N83),
IF(SUBTOTAL(109,N82)&gt;0,SUBTOTAL(109,N82),
IF(SUBTOTAL(109,N81)&gt;0,SUBTOTAL(109,N81),
IF(SUBTOTAL(109,N80)&gt;0,SUBTOTAL(109,N80),
IF(SUBTOTAL(109,N79)&gt;0,SUBTOTAL(109,N79),
IF(SUBTOTAL(109,N78)&gt;0,SUBTOTAL(109,N78),
))))))))))))))))))),1,0)</f>
        <v>1</v>
      </c>
      <c r="D97" s="983">
        <f>IF(Расходы_2[[#This Row],[КВР]]&gt;
IF(SUBTOTAL(109,L96)&gt;0,SUBTOTAL(109,L96),
IF(SUBTOTAL(109,L95)&gt;0,SUBTOTAL(109,L95),
IF(SUBTOTAL(109,L94)&gt;0,SUBTOTAL(109,L94),
IF(SUBTOTAL(109,L93)&gt;0,SUBTOTAL(109,L93),
IF(SUBTOTAL(109,L92)&gt;0,SUBTOTAL(109,L92),
IF(SUBTOTAL(109,L91)&gt;0,SUBTOTAL(109,L91),
IF(SUBTOTAL(109,L90)&gt;0,SUBTOTAL(109,L90),
IF(SUBTOTAL(109,L89)&gt;0,SUBTOTAL(109,L89),
IF(SUBTOTAL(109,L88)&gt;0,SUBTOTAL(109,L88),
IF(SUBTOTAL(109,L87)&gt;0,SUBTOTAL(109,L87),
IF(SUBTOTAL(109,L86)&gt;0,SUBTOTAL(109,L87),
IF(SUBTOTAL(109,L85)&gt;0,SUBTOTAL(109,L85),
IF(SUBTOTAL(109,L84)&gt;0,SUBTOTAL(109,L84),
IF(SUBTOTAL(109,L83)&gt;0,SUBTOTAL(109,L83),
IF(SUBTOTAL(109,L82)&gt;0,SUBTOTAL(109,L82),
IF(SUBTOTAL(109,L81)&gt;0,SUBTOTAL(109,L81),
IF(SUBTOTAL(109,L80)&gt;0,SUBTOTAL(109,L80),
IF(SUBTOTAL(109,L79)&gt;0,SUBTOTAL(109,L79),
IF(SUBTOTAL(109,L78)&gt;0,SUBTOTAL(109,L78),
))))))))))))))))))),1,0)</f>
        <v>0</v>
      </c>
      <c r="E97" s="983">
        <f>IF(AND(Расходы_2[[#This Row],[КЦ]]="14561Э",M96="14561Т"),1,
IF(Расходы_2[[#This Row],[КЦ]]&gt;
IF(SUBTOTAL(109,M96)&gt;0,SUBTOTAL(109,M96),
IF(SUBTOTAL(109,M95)&gt;0,SUBTOTAL(109,M95),
IF(SUBTOTAL(109,M94)&gt;0,SUBTOTAL(109,M94),
IF(SUBTOTAL(109,M93)&gt;0,SUBTOTAL(109,M93),
IF(SUBTOTAL(109,M92)&gt;0,SUBTOTAL(109,M92),
IF(SUBTOTAL(109,M91)&gt;0,SUBTOTAL(109,M91))))))),1,0))</f>
        <v>0</v>
      </c>
      <c r="F97" s="983">
        <f>IF(Расходы_2[[#This Row],[КОСГУ]]&gt;
IF(SUBTOTAL(109,N96)&gt;0,SUBTOTAL(109,N96),
IF(SUBTOTAL(109,N95)&gt;0,SUBTOTAL(109,N95),
IF(SUBTOTAL(109,N94)&gt;0,SUBTOTAL(109,N94),
IF(SUBTOTAL(109,N93)&gt;0,SUBTOTAL(109,N93),
IF(SUBTOTAL(109,N92)&gt;0,SUBTOTAL(109,N92),
IF(SUBTOTAL(109,N91)&gt;0,SUBTOTAL(109,N91),
IF(SUBTOTAL(109,N90)&gt;0,SUBTOTAL(109,N90),
IF(SUBTOTAL(109,N89)&gt;0,SUBTOTAL(109,N89),
IF(SUBTOTAL(109,N88)&gt;0,SUBTOTAL(109,N88),
IF(SUBTOTAL(109,N87)&gt;0,SUBTOTAL(109,N87),
IF(SUBTOTAL(109,N86)&gt;0,SUBTOTAL(109,N87),
IF(SUBTOTAL(109,N85)&gt;0,SUBTOTAL(109,N85),
IF(SUBTOTAL(109,N84)&gt;0,SUBTOTAL(109,N84),
IF(SUBTOTAL(109,N83)&gt;0,SUBTOTAL(109,N83),
IF(SUBTOTAL(109,N82)&gt;0,SUBTOTAL(109,N82),
IF(SUBTOTAL(109,N81)&gt;0,SUBTOTAL(109,N81),
IF(SUBTOTAL(109,N80)&gt;0,SUBTOTAL(109,N80),
IF(SUBTOTAL(109,N79)&gt;0,SUBTOTAL(109,N79),
IF(SUBTOTAL(109,N78)&gt;0,SUBTOTAL(109,N78),
))))))))))))))))))),1,0)</f>
        <v>1</v>
      </c>
      <c r="G97" s="983" t="e">
        <f ca="1">_xlfn.AGGREGATE(9,5,$D$69:D97)</f>
        <v>#NAME?</v>
      </c>
      <c r="H97" s="983" t="e">
        <f ca="1">_xlfn.AGGREGATE(9,5,$E$69:E97)</f>
        <v>#NAME?</v>
      </c>
      <c r="I97" s="983" t="e">
        <f ca="1">_xlfn.AGGREGATE(9,5,$F$69:F97)</f>
        <v>#NAME?</v>
      </c>
      <c r="J97" s="964" t="str">
        <f>IF(SUM(Расходы_2[[#This Row],[2 025]:[2 027]])=0,"000",".")</f>
        <v>000</v>
      </c>
      <c r="K97" s="965">
        <v>2</v>
      </c>
      <c r="L97" s="908">
        <v>244</v>
      </c>
      <c r="M97" s="966"/>
      <c r="N97" s="908">
        <v>347</v>
      </c>
      <c r="O97" s="967"/>
      <c r="P97" s="967"/>
      <c r="Q97" s="967"/>
      <c r="R97" s="1239" t="s">
        <v>253</v>
      </c>
      <c r="S97" s="1128"/>
      <c r="Y97" s="959"/>
      <c r="Z97" s="959"/>
      <c r="AA97" s="959"/>
      <c r="AB97" s="963"/>
      <c r="AE97" s="51">
        <f>COUNT(102,$AF$69:AF97)-1</f>
        <v>29</v>
      </c>
      <c r="AF97" s="50">
        <v>1</v>
      </c>
    </row>
    <row r="98" spans="1:32" ht="20.25" customHeight="1">
      <c r="A98" s="983">
        <f>IF(Расходы_2[[#This Row],[КВР]]&gt;=
IF(SUBTOTAL(109,L97)&gt;0,SUBTOTAL(109,L97),
IF(SUBTOTAL(109,L96)&gt;0,SUBTOTAL(109,L96),
IF(SUBTOTAL(109,L95)&gt;0,SUBTOTAL(109,L95),
IF(SUBTOTAL(109,L94)&gt;0,SUBTOTAL(109,L94),
IF(SUBTOTAL(109,L93)&gt;0,SUBTOTAL(109,L93),
IF(SUBTOTAL(109,L92)&gt;0,SUBTOTAL(109,L92),
IF(SUBTOTAL(109,L91)&gt;0,SUBTOTAL(109,L91),
IF(SUBTOTAL(109,L90)&gt;0,SUBTOTAL(109,L90),
IF(SUBTOTAL(109,L89)&gt;0,SUBTOTAL(109,L89),
IF(SUBTOTAL(109,L88)&gt;0,SUBTOTAL(109,L88),
IF(SUBTOTAL(109,L87)&gt;0,SUBTOTAL(109,L88),
IF(SUBTOTAL(109,L86)&gt;0,SUBTOTAL(109,L86),
IF(SUBTOTAL(109,L85)&gt;0,SUBTOTAL(109,L85),
IF(SUBTOTAL(109,L84)&gt;0,SUBTOTAL(109,L84),
IF(SUBTOTAL(109,L83)&gt;0,SUBTOTAL(109,L83),
IF(SUBTOTAL(109,L82)&gt;0,SUBTOTAL(109,L82),
IF(SUBTOTAL(109,L81)&gt;0,SUBTOTAL(109,L81),
IF(SUBTOTAL(109,L80)&gt;0,SUBTOTAL(109,L80),
IF(SUBTOTAL(109,L79)&gt;0,SUBTOTAL(109,L79),
))))))))))))))))))),1,0)</f>
        <v>1</v>
      </c>
      <c r="B98" s="983"/>
      <c r="C98" s="983">
        <f>IF(Расходы_2[[#This Row],[КОСГУ]]&gt;=
IF(SUBTOTAL(109,N97)&gt;0,SUBTOTAL(109,N97),
IF(SUBTOTAL(109,N96)&gt;0,SUBTOTAL(109,N96),
IF(SUBTOTAL(109,N95)&gt;0,SUBTOTAL(109,N95),
IF(SUBTOTAL(109,N94)&gt;0,SUBTOTAL(109,N94),
IF(SUBTOTAL(109,N93)&gt;0,SUBTOTAL(109,N93),
IF(SUBTOTAL(109,N92)&gt;0,SUBTOTAL(109,N92),
IF(SUBTOTAL(109,N91)&gt;0,SUBTOTAL(109,N91),
IF(SUBTOTAL(109,N90)&gt;0,SUBTOTAL(109,N90),
IF(SUBTOTAL(109,N89)&gt;0,SUBTOTAL(109,N89),
IF(SUBTOTAL(109,N88)&gt;0,SUBTOTAL(109,N88),
IF(SUBTOTAL(109,N87)&gt;0,SUBTOTAL(109,N88),
IF(SUBTOTAL(109,N86)&gt;0,SUBTOTAL(109,N86),
IF(SUBTOTAL(109,N85)&gt;0,SUBTOTAL(109,N85),
IF(SUBTOTAL(109,N84)&gt;0,SUBTOTAL(109,N84),
IF(SUBTOTAL(109,N83)&gt;0,SUBTOTAL(109,N83),
IF(SUBTOTAL(109,N82)&gt;0,SUBTOTAL(109,N82),
IF(SUBTOTAL(109,N81)&gt;0,SUBTOTAL(109,N81),
IF(SUBTOTAL(109,N80)&gt;0,SUBTOTAL(109,N80),
IF(SUBTOTAL(109,N79)&gt;0,SUBTOTAL(109,N79),
))))))))))))))))))),1,0)</f>
        <v>1</v>
      </c>
      <c r="D98" s="983">
        <f>IF(Расходы_2[[#This Row],[КВР]]&gt;
IF(SUBTOTAL(109,L97)&gt;0,SUBTOTAL(109,L97),
IF(SUBTOTAL(109,L96)&gt;0,SUBTOTAL(109,L96),
IF(SUBTOTAL(109,L95)&gt;0,SUBTOTAL(109,L95),
IF(SUBTOTAL(109,L94)&gt;0,SUBTOTAL(109,L94),
IF(SUBTOTAL(109,L93)&gt;0,SUBTOTAL(109,L93),
IF(SUBTOTAL(109,L92)&gt;0,SUBTOTAL(109,L92),
IF(SUBTOTAL(109,L91)&gt;0,SUBTOTAL(109,L91),
IF(SUBTOTAL(109,L90)&gt;0,SUBTOTAL(109,L90),
IF(SUBTOTAL(109,L89)&gt;0,SUBTOTAL(109,L89),
IF(SUBTOTAL(109,L88)&gt;0,SUBTOTAL(109,L88),
IF(SUBTOTAL(109,L87)&gt;0,SUBTOTAL(109,L88),
IF(SUBTOTAL(109,L86)&gt;0,SUBTOTAL(109,L86),
IF(SUBTOTAL(109,L85)&gt;0,SUBTOTAL(109,L85),
IF(SUBTOTAL(109,L84)&gt;0,SUBTOTAL(109,L84),
IF(SUBTOTAL(109,L83)&gt;0,SUBTOTAL(109,L83),
IF(SUBTOTAL(109,L82)&gt;0,SUBTOTAL(109,L82),
IF(SUBTOTAL(109,L81)&gt;0,SUBTOTAL(109,L81),
IF(SUBTOTAL(109,L80)&gt;0,SUBTOTAL(109,L80),
IF(SUBTOTAL(109,L79)&gt;0,SUBTOTAL(109,L79),
))))))))))))))))))),1,0)</f>
        <v>0</v>
      </c>
      <c r="E98" s="983">
        <f>IF(AND(Расходы_2[[#This Row],[КЦ]]="14561Э",M97="14561Т"),1,
IF(Расходы_2[[#This Row],[КЦ]]&gt;
IF(SUBTOTAL(109,M97)&gt;0,SUBTOTAL(109,M97),
IF(SUBTOTAL(109,M96)&gt;0,SUBTOTAL(109,M96),
IF(SUBTOTAL(109,M95)&gt;0,SUBTOTAL(109,M95),
IF(SUBTOTAL(109,M94)&gt;0,SUBTOTAL(109,M94),
IF(SUBTOTAL(109,M93)&gt;0,SUBTOTAL(109,M93),
IF(SUBTOTAL(109,M92)&gt;0,SUBTOTAL(109,M92))))))),1,0))</f>
        <v>0</v>
      </c>
      <c r="F98" s="983">
        <f>IF(Расходы_2[[#This Row],[КОСГУ]]&gt;
IF(SUBTOTAL(109,N97)&gt;0,SUBTOTAL(109,N97),
IF(SUBTOTAL(109,N96)&gt;0,SUBTOTAL(109,N96),
IF(SUBTOTAL(109,N95)&gt;0,SUBTOTAL(109,N95),
IF(SUBTOTAL(109,N94)&gt;0,SUBTOTAL(109,N94),
IF(SUBTOTAL(109,N93)&gt;0,SUBTOTAL(109,N93),
IF(SUBTOTAL(109,N92)&gt;0,SUBTOTAL(109,N92),
IF(SUBTOTAL(109,N91)&gt;0,SUBTOTAL(109,N91),
IF(SUBTOTAL(109,N90)&gt;0,SUBTOTAL(109,N90),
IF(SUBTOTAL(109,N89)&gt;0,SUBTOTAL(109,N89),
IF(SUBTOTAL(109,N88)&gt;0,SUBTOTAL(109,N88),
IF(SUBTOTAL(109,N87)&gt;0,SUBTOTAL(109,N88),
IF(SUBTOTAL(109,N86)&gt;0,SUBTOTAL(109,N86),
IF(SUBTOTAL(109,N85)&gt;0,SUBTOTAL(109,N85),
IF(SUBTOTAL(109,N84)&gt;0,SUBTOTAL(109,N84),
IF(SUBTOTAL(109,N83)&gt;0,SUBTOTAL(109,N83),
IF(SUBTOTAL(109,N82)&gt;0,SUBTOTAL(109,N82),
IF(SUBTOTAL(109,N81)&gt;0,SUBTOTAL(109,N81),
IF(SUBTOTAL(109,N80)&gt;0,SUBTOTAL(109,N80),
IF(SUBTOTAL(109,N79)&gt;0,SUBTOTAL(109,N79),
))))))))))))))))))),1,0)</f>
        <v>1</v>
      </c>
      <c r="G98" s="983" t="e">
        <f ca="1">_xlfn.AGGREGATE(9,5,$D$69:D98)</f>
        <v>#NAME?</v>
      </c>
      <c r="H98" s="983" t="e">
        <f ca="1">_xlfn.AGGREGATE(9,5,$E$69:E98)</f>
        <v>#NAME?</v>
      </c>
      <c r="I98" s="983" t="e">
        <f ca="1">_xlfn.AGGREGATE(9,5,$F$69:F98)</f>
        <v>#NAME?</v>
      </c>
      <c r="J98" s="964" t="str">
        <f>IF(SUM(Расходы_2[[#This Row],[2 025]:[2 027]])=0,"000",".")</f>
        <v>000</v>
      </c>
      <c r="K98" s="965">
        <v>2</v>
      </c>
      <c r="L98" s="908">
        <v>244</v>
      </c>
      <c r="M98" s="966"/>
      <c r="N98" s="908">
        <v>349</v>
      </c>
      <c r="O98" s="967"/>
      <c r="P98" s="967"/>
      <c r="Q98" s="967"/>
      <c r="R98" s="1239" t="s">
        <v>254</v>
      </c>
      <c r="S98" s="1128"/>
      <c r="Y98" s="959"/>
      <c r="Z98" s="959"/>
      <c r="AA98" s="959"/>
      <c r="AB98" s="963"/>
      <c r="AE98" s="51">
        <f>COUNT(102,$AF$69:AF98)-1</f>
        <v>30</v>
      </c>
      <c r="AF98" s="50">
        <v>1</v>
      </c>
    </row>
    <row r="99" spans="1:32" ht="20.25" customHeight="1">
      <c r="A99" s="983">
        <f>IF(Расходы_2[[#This Row],[КВР]]&gt;=
IF(SUBTOTAL(109,L98)&gt;0,SUBTOTAL(109,L98),
IF(SUBTOTAL(109,L97)&gt;0,SUBTOTAL(109,L97),
IF(SUBTOTAL(109,L96)&gt;0,SUBTOTAL(109,L96),
IF(SUBTOTAL(109,L95)&gt;0,SUBTOTAL(109,L95),
IF(SUBTOTAL(109,L94)&gt;0,SUBTOTAL(109,L94),
IF(SUBTOTAL(109,L93)&gt;0,SUBTOTAL(109,L93),
IF(SUBTOTAL(109,L92)&gt;0,SUBTOTAL(109,L92),
IF(SUBTOTAL(109,L91)&gt;0,SUBTOTAL(109,L91),
IF(SUBTOTAL(109,L90)&gt;0,SUBTOTAL(109,L90),
IF(SUBTOTAL(109,L89)&gt;0,SUBTOTAL(109,L89),
IF(SUBTOTAL(109,L88)&gt;0,SUBTOTAL(109,L89),
IF(SUBTOTAL(109,L87)&gt;0,SUBTOTAL(109,L87),
IF(SUBTOTAL(109,L86)&gt;0,SUBTOTAL(109,L86),
IF(SUBTOTAL(109,L85)&gt;0,SUBTOTAL(109,L85),
IF(SUBTOTAL(109,L84)&gt;0,SUBTOTAL(109,L84),
IF(SUBTOTAL(109,L83)&gt;0,SUBTOTAL(109,L83),
IF(SUBTOTAL(109,L82)&gt;0,SUBTOTAL(109,L82),
IF(SUBTOTAL(109,L81)&gt;0,SUBTOTAL(109,L81),
IF(SUBTOTAL(109,L80)&gt;0,SUBTOTAL(109,L80),
))))))))))))))))))),1,0)</f>
        <v>1</v>
      </c>
      <c r="B99" s="983"/>
      <c r="C99" s="983">
        <f>IF(Расходы_2[[#This Row],[КОСГУ]]&gt;=
IF(SUBTOTAL(109,N98)&gt;0,SUBTOTAL(109,N98),
IF(SUBTOTAL(109,N97)&gt;0,SUBTOTAL(109,N97),
IF(SUBTOTAL(109,N96)&gt;0,SUBTOTAL(109,N96),
IF(SUBTOTAL(109,N95)&gt;0,SUBTOTAL(109,N95),
IF(SUBTOTAL(109,N94)&gt;0,SUBTOTAL(109,N94),
IF(SUBTOTAL(109,N93)&gt;0,SUBTOTAL(109,N93),
IF(SUBTOTAL(109,N92)&gt;0,SUBTOTAL(109,N92),
IF(SUBTOTAL(109,N91)&gt;0,SUBTOTAL(109,N91),
IF(SUBTOTAL(109,N90)&gt;0,SUBTOTAL(109,N90),
IF(SUBTOTAL(109,N89)&gt;0,SUBTOTAL(109,N89),
IF(SUBTOTAL(109,N88)&gt;0,SUBTOTAL(109,N89),
IF(SUBTOTAL(109,N87)&gt;0,SUBTOTAL(109,N87),
IF(SUBTOTAL(109,N86)&gt;0,SUBTOTAL(109,N86),
IF(SUBTOTAL(109,N85)&gt;0,SUBTOTAL(109,N85),
IF(SUBTOTAL(109,N84)&gt;0,SUBTOTAL(109,N84),
IF(SUBTOTAL(109,N83)&gt;0,SUBTOTAL(109,N83),
IF(SUBTOTAL(109,N82)&gt;0,SUBTOTAL(109,N82),
IF(SUBTOTAL(109,N81)&gt;0,SUBTOTAL(109,N81),
IF(SUBTOTAL(109,N80)&gt;0,SUBTOTAL(109,N80),
))))))))))))))))))),1,0)</f>
        <v>1</v>
      </c>
      <c r="D99" s="983">
        <f>IF(Расходы_2[[#This Row],[КВР]]&gt;
IF(SUBTOTAL(109,L98)&gt;0,SUBTOTAL(109,L98),
IF(SUBTOTAL(109,L97)&gt;0,SUBTOTAL(109,L97),
IF(SUBTOTAL(109,L96)&gt;0,SUBTOTAL(109,L96),
IF(SUBTOTAL(109,L95)&gt;0,SUBTOTAL(109,L95),
IF(SUBTOTAL(109,L94)&gt;0,SUBTOTAL(109,L94),
IF(SUBTOTAL(109,L93)&gt;0,SUBTOTAL(109,L93),
IF(SUBTOTAL(109,L92)&gt;0,SUBTOTAL(109,L92),
IF(SUBTOTAL(109,L91)&gt;0,SUBTOTAL(109,L91),
IF(SUBTOTAL(109,L90)&gt;0,SUBTOTAL(109,L90),
IF(SUBTOTAL(109,L89)&gt;0,SUBTOTAL(109,L89),
IF(SUBTOTAL(109,L88)&gt;0,SUBTOTAL(109,L89),
IF(SUBTOTAL(109,L87)&gt;0,SUBTOTAL(109,L87),
IF(SUBTOTAL(109,L86)&gt;0,SUBTOTAL(109,L86),
IF(SUBTOTAL(109,L85)&gt;0,SUBTOTAL(109,L85),
IF(SUBTOTAL(109,L84)&gt;0,SUBTOTAL(109,L84),
IF(SUBTOTAL(109,L83)&gt;0,SUBTOTAL(109,L83),
IF(SUBTOTAL(109,L82)&gt;0,SUBTOTAL(109,L82),
IF(SUBTOTAL(109,L81)&gt;0,SUBTOTAL(109,L81),
IF(SUBTOTAL(109,L80)&gt;0,SUBTOTAL(109,L80),
))))))))))))))))))),1,0)</f>
        <v>0</v>
      </c>
      <c r="E99" s="983">
        <f>IF(AND(Расходы_2[[#This Row],[КЦ]]="14561Э",M98="14561Т"),1,
IF(Расходы_2[[#This Row],[КЦ]]&gt;
IF(SUBTOTAL(109,M98)&gt;0,SUBTOTAL(109,M98),
IF(SUBTOTAL(109,M97)&gt;0,SUBTOTAL(109,M97),
IF(SUBTOTAL(109,M96)&gt;0,SUBTOTAL(109,M96),
IF(SUBTOTAL(109,M95)&gt;0,SUBTOTAL(109,M95),
IF(SUBTOTAL(109,M94)&gt;0,SUBTOTAL(109,M94),
IF(SUBTOTAL(109,M93)&gt;0,SUBTOTAL(109,M93))))))),1,0))</f>
        <v>0</v>
      </c>
      <c r="F99" s="983">
        <f>IF(Расходы_2[[#This Row],[КОСГУ]]&gt;
IF(SUBTOTAL(109,N98)&gt;0,SUBTOTAL(109,N98),
IF(SUBTOTAL(109,N97)&gt;0,SUBTOTAL(109,N97),
IF(SUBTOTAL(109,N96)&gt;0,SUBTOTAL(109,N96),
IF(SUBTOTAL(109,N95)&gt;0,SUBTOTAL(109,N95),
IF(SUBTOTAL(109,N94)&gt;0,SUBTOTAL(109,N94),
IF(SUBTOTAL(109,N93)&gt;0,SUBTOTAL(109,N93),
IF(SUBTOTAL(109,N92)&gt;0,SUBTOTAL(109,N92),
IF(SUBTOTAL(109,N91)&gt;0,SUBTOTAL(109,N91),
IF(SUBTOTAL(109,N90)&gt;0,SUBTOTAL(109,N90),
IF(SUBTOTAL(109,N89)&gt;0,SUBTOTAL(109,N89),
IF(SUBTOTAL(109,N88)&gt;0,SUBTOTAL(109,N89),
IF(SUBTOTAL(109,N87)&gt;0,SUBTOTAL(109,N87),
IF(SUBTOTAL(109,N86)&gt;0,SUBTOTAL(109,N86),
IF(SUBTOTAL(109,N85)&gt;0,SUBTOTAL(109,N85),
IF(SUBTOTAL(109,N84)&gt;0,SUBTOTAL(109,N84),
IF(SUBTOTAL(109,N83)&gt;0,SUBTOTAL(109,N83),
IF(SUBTOTAL(109,N82)&gt;0,SUBTOTAL(109,N82),
IF(SUBTOTAL(109,N81)&gt;0,SUBTOTAL(109,N81),
IF(SUBTOTAL(109,N80)&gt;0,SUBTOTAL(109,N80),
))))))))))))))))))),1,0)</f>
        <v>1</v>
      </c>
      <c r="G99" s="983" t="e">
        <f ca="1">_xlfn.AGGREGATE(9,5,$D$69:D99)</f>
        <v>#NAME?</v>
      </c>
      <c r="H99" s="983" t="e">
        <f ca="1">_xlfn.AGGREGATE(9,5,$E$69:E99)</f>
        <v>#NAME?</v>
      </c>
      <c r="I99" s="983" t="e">
        <f ca="1">_xlfn.AGGREGATE(9,5,$F$69:F99)</f>
        <v>#NAME?</v>
      </c>
      <c r="J99" s="964" t="str">
        <f>IF(SUM(Расходы_2[[#This Row],[2 025]:[2 027]])=0,"000",".")</f>
        <v>000</v>
      </c>
      <c r="K99" s="965">
        <v>2</v>
      </c>
      <c r="L99" s="908">
        <v>244</v>
      </c>
      <c r="M99" s="966"/>
      <c r="N99" s="908">
        <v>350</v>
      </c>
      <c r="O99" s="967"/>
      <c r="P99" s="967"/>
      <c r="Q99" s="967"/>
      <c r="R99" s="1239" t="s">
        <v>746</v>
      </c>
      <c r="S99" s="1128"/>
      <c r="Y99" s="959"/>
      <c r="Z99" s="959"/>
      <c r="AA99" s="959"/>
      <c r="AB99" s="963"/>
      <c r="AE99" s="51">
        <f>COUNT(102,$AF$69:AF99)-1</f>
        <v>31</v>
      </c>
      <c r="AF99" s="50">
        <v>1</v>
      </c>
    </row>
    <row r="100" spans="1:32" ht="20.25" customHeight="1">
      <c r="A100" s="983">
        <f>IF(Расходы_2[[#This Row],[КВР]]&gt;=
IF(SUBTOTAL(109,L99)&gt;0,SUBTOTAL(109,L99),
IF(SUBTOTAL(109,L98)&gt;0,SUBTOTAL(109,L98),
IF(SUBTOTAL(109,L97)&gt;0,SUBTOTAL(109,L97),
IF(SUBTOTAL(109,L96)&gt;0,SUBTOTAL(109,L96),
IF(SUBTOTAL(109,L95)&gt;0,SUBTOTAL(109,L95),
IF(SUBTOTAL(109,L94)&gt;0,SUBTOTAL(109,L94),
IF(SUBTOTAL(109,L93)&gt;0,SUBTOTAL(109,L93),
IF(SUBTOTAL(109,L92)&gt;0,SUBTOTAL(109,L92),
IF(SUBTOTAL(109,L91)&gt;0,SUBTOTAL(109,L91),
IF(SUBTOTAL(109,L90)&gt;0,SUBTOTAL(109,L90),
IF(SUBTOTAL(109,L89)&gt;0,SUBTOTAL(109,L90),
IF(SUBTOTAL(109,L88)&gt;0,SUBTOTAL(109,L88),
IF(SUBTOTAL(109,L87)&gt;0,SUBTOTAL(109,L87),
IF(SUBTOTAL(109,L86)&gt;0,SUBTOTAL(109,L86),
IF(SUBTOTAL(109,L85)&gt;0,SUBTOTAL(109,L85),
IF(SUBTOTAL(109,L84)&gt;0,SUBTOTAL(109,L84),
IF(SUBTOTAL(109,L83)&gt;0,SUBTOTAL(109,L83),
IF(SUBTOTAL(109,L82)&gt;0,SUBTOTAL(109,L82),
IF(SUBTOTAL(109,L81)&gt;0,SUBTOTAL(109,L81),
))))))))))))))))))),1,0)</f>
        <v>1</v>
      </c>
      <c r="B100" s="983"/>
      <c r="C100" s="983">
        <f>IF(Расходы_2[[#This Row],[КОСГУ]]&gt;=
IF(SUBTOTAL(109,N99)&gt;0,SUBTOTAL(109,N99),
IF(SUBTOTAL(109,N98)&gt;0,SUBTOTAL(109,N98),
IF(SUBTOTAL(109,N97)&gt;0,SUBTOTAL(109,N97),
IF(SUBTOTAL(109,N96)&gt;0,SUBTOTAL(109,N96),
IF(SUBTOTAL(109,N95)&gt;0,SUBTOTAL(109,N95),
IF(SUBTOTAL(109,N94)&gt;0,SUBTOTAL(109,N94),
IF(SUBTOTAL(109,N93)&gt;0,SUBTOTAL(109,N93),
IF(SUBTOTAL(109,N92)&gt;0,SUBTOTAL(109,N92),
IF(SUBTOTAL(109,N91)&gt;0,SUBTOTAL(109,N91),
IF(SUBTOTAL(109,N90)&gt;0,SUBTOTAL(109,N90),
IF(SUBTOTAL(109,N89)&gt;0,SUBTOTAL(109,N90),
IF(SUBTOTAL(109,N88)&gt;0,SUBTOTAL(109,N88),
IF(SUBTOTAL(109,N87)&gt;0,SUBTOTAL(109,N87),
IF(SUBTOTAL(109,N86)&gt;0,SUBTOTAL(109,N86),
IF(SUBTOTAL(109,N85)&gt;0,SUBTOTAL(109,N85),
IF(SUBTOTAL(109,N84)&gt;0,SUBTOTAL(109,N84),
IF(SUBTOTAL(109,N83)&gt;0,SUBTOTAL(109,N83),
IF(SUBTOTAL(109,N82)&gt;0,SUBTOTAL(109,N82),
IF(SUBTOTAL(109,N81)&gt;0,SUBTOTAL(109,N81),
))))))))))))))))))),1,0)</f>
        <v>0</v>
      </c>
      <c r="D100" s="983">
        <f>IF(Расходы_2[[#This Row],[КВР]]&gt;
IF(SUBTOTAL(109,L99)&gt;0,SUBTOTAL(109,L99),
IF(SUBTOTAL(109,L98)&gt;0,SUBTOTAL(109,L98),
IF(SUBTOTAL(109,L97)&gt;0,SUBTOTAL(109,L97),
IF(SUBTOTAL(109,L96)&gt;0,SUBTOTAL(109,L96),
IF(SUBTOTAL(109,L95)&gt;0,SUBTOTAL(109,L95),
IF(SUBTOTAL(109,L94)&gt;0,SUBTOTAL(109,L94),
IF(SUBTOTAL(109,L93)&gt;0,SUBTOTAL(109,L93),
IF(SUBTOTAL(109,L92)&gt;0,SUBTOTAL(109,L92),
IF(SUBTOTAL(109,L91)&gt;0,SUBTOTAL(109,L91),
IF(SUBTOTAL(109,L90)&gt;0,SUBTOTAL(109,L90),
IF(SUBTOTAL(109,L89)&gt;0,SUBTOTAL(109,L90),
IF(SUBTOTAL(109,L88)&gt;0,SUBTOTAL(109,L88),
IF(SUBTOTAL(109,L87)&gt;0,SUBTOTAL(109,L87),
IF(SUBTOTAL(109,L86)&gt;0,SUBTOTAL(109,L86),
IF(SUBTOTAL(109,L85)&gt;0,SUBTOTAL(109,L85),
IF(SUBTOTAL(109,L84)&gt;0,SUBTOTAL(109,L84),
IF(SUBTOTAL(109,L83)&gt;0,SUBTOTAL(109,L83),
IF(SUBTOTAL(109,L82)&gt;0,SUBTOTAL(109,L82),
IF(SUBTOTAL(109,L81)&gt;0,SUBTOTAL(109,L81),
))))))))))))))))))),1,0)</f>
        <v>1</v>
      </c>
      <c r="E100" s="983">
        <f>IF(AND(Расходы_2[[#This Row],[КЦ]]="14561Э",M99="14561Т"),1,
IF(Расходы_2[[#This Row],[КЦ]]&gt;
IF(SUBTOTAL(109,M99)&gt;0,SUBTOTAL(109,M99),
IF(SUBTOTAL(109,M98)&gt;0,SUBTOTAL(109,M98),
IF(SUBTOTAL(109,M97)&gt;0,SUBTOTAL(109,M97),
IF(SUBTOTAL(109,M96)&gt;0,SUBTOTAL(109,M96),
IF(SUBTOTAL(109,M95)&gt;0,SUBTOTAL(109,M95),
IF(SUBTOTAL(109,M94)&gt;0,SUBTOTAL(109,M94))))))),1,0))</f>
        <v>0</v>
      </c>
      <c r="F100" s="983">
        <f>IF(Расходы_2[[#This Row],[КОСГУ]]&gt;
IF(SUBTOTAL(109,N99)&gt;0,SUBTOTAL(109,N99),
IF(SUBTOTAL(109,N98)&gt;0,SUBTOTAL(109,N98),
IF(SUBTOTAL(109,N97)&gt;0,SUBTOTAL(109,N97),
IF(SUBTOTAL(109,N96)&gt;0,SUBTOTAL(109,N96),
IF(SUBTOTAL(109,N95)&gt;0,SUBTOTAL(109,N95),
IF(SUBTOTAL(109,N94)&gt;0,SUBTOTAL(109,N94),
IF(SUBTOTAL(109,N93)&gt;0,SUBTOTAL(109,N93),
IF(SUBTOTAL(109,N92)&gt;0,SUBTOTAL(109,N92),
IF(SUBTOTAL(109,N91)&gt;0,SUBTOTAL(109,N91),
IF(SUBTOTAL(109,N90)&gt;0,SUBTOTAL(109,N90),
IF(SUBTOTAL(109,N89)&gt;0,SUBTOTAL(109,N90),
IF(SUBTOTAL(109,N88)&gt;0,SUBTOTAL(109,N88),
IF(SUBTOTAL(109,N87)&gt;0,SUBTOTAL(109,N87),
IF(SUBTOTAL(109,N86)&gt;0,SUBTOTAL(109,N86),
IF(SUBTOTAL(109,N85)&gt;0,SUBTOTAL(109,N85),
IF(SUBTOTAL(109,N84)&gt;0,SUBTOTAL(109,N84),
IF(SUBTOTAL(109,N83)&gt;0,SUBTOTAL(109,N83),
IF(SUBTOTAL(109,N82)&gt;0,SUBTOTAL(109,N82),
IF(SUBTOTAL(109,N81)&gt;0,SUBTOTAL(109,N81),
))))))))))))))))))),1,0)</f>
        <v>0</v>
      </c>
      <c r="G100" s="983" t="e">
        <f ca="1">_xlfn.AGGREGATE(9,5,$D$69:D100)</f>
        <v>#NAME?</v>
      </c>
      <c r="H100" s="983" t="e">
        <f ca="1">_xlfn.AGGREGATE(9,5,$E$69:E100)</f>
        <v>#NAME?</v>
      </c>
      <c r="I100" s="983" t="e">
        <f ca="1">_xlfn.AGGREGATE(9,5,$F$69:F100)</f>
        <v>#NAME?</v>
      </c>
      <c r="J100" s="964" t="str">
        <f>IF(SUM(Расходы_2[[#This Row],[2 025]:[2 027]])=0,"000",".")</f>
        <v>.</v>
      </c>
      <c r="K100" s="965">
        <v>2</v>
      </c>
      <c r="L100" s="908">
        <v>247</v>
      </c>
      <c r="M100" s="966"/>
      <c r="N100" s="908">
        <v>223</v>
      </c>
      <c r="O100" s="1304">
        <v>80000</v>
      </c>
      <c r="P100" s="1304">
        <v>80000</v>
      </c>
      <c r="Q100" s="1304">
        <v>80000</v>
      </c>
      <c r="R100" s="1239" t="s">
        <v>745</v>
      </c>
      <c r="S100" s="1128"/>
      <c r="T100" s="1262" t="s">
        <v>1122</v>
      </c>
      <c r="Y100" s="959"/>
      <c r="Z100" s="959"/>
      <c r="AA100" s="959"/>
      <c r="AB100" s="963"/>
      <c r="AE100" s="51">
        <f>COUNT(102,$AF$69:AF100)-1</f>
        <v>32</v>
      </c>
      <c r="AF100" s="50">
        <v>1</v>
      </c>
    </row>
    <row r="101" spans="1:32" ht="20.25" customHeight="1">
      <c r="A101" s="983">
        <f>IF(Расходы_2[[#This Row],[КВР]]&gt;=
IF(SUBTOTAL(109,L100)&gt;0,SUBTOTAL(109,L100),
IF(SUBTOTAL(109,L99)&gt;0,SUBTOTAL(109,L99),
IF(SUBTOTAL(109,L98)&gt;0,SUBTOTAL(109,L98),
IF(SUBTOTAL(109,L97)&gt;0,SUBTOTAL(109,L97),
IF(SUBTOTAL(109,L96)&gt;0,SUBTOTAL(109,L96),
IF(SUBTOTAL(109,L95)&gt;0,SUBTOTAL(109,L95),
IF(SUBTOTAL(109,L94)&gt;0,SUBTOTAL(109,L94),
IF(SUBTOTAL(109,L93)&gt;0,SUBTOTAL(109,L93),
IF(SUBTOTAL(109,L92)&gt;0,SUBTOTAL(109,L92),
IF(SUBTOTAL(109,L91)&gt;0,SUBTOTAL(109,L91),
IF(SUBTOTAL(109,L90)&gt;0,SUBTOTAL(109,L91),
IF(SUBTOTAL(109,L89)&gt;0,SUBTOTAL(109,L89),
IF(SUBTOTAL(109,L88)&gt;0,SUBTOTAL(109,L88),
IF(SUBTOTAL(109,L87)&gt;0,SUBTOTAL(109,L87),
IF(SUBTOTAL(109,L86)&gt;0,SUBTOTAL(109,L86),
IF(SUBTOTAL(109,L85)&gt;0,SUBTOTAL(109,L85),
IF(SUBTOTAL(109,L84)&gt;0,SUBTOTAL(109,L84),
IF(SUBTOTAL(109,L83)&gt;0,SUBTOTAL(109,L83),
IF(SUBTOTAL(109,L82)&gt;0,SUBTOTAL(109,L82),
))))))))))))))))))),1,0)</f>
        <v>1</v>
      </c>
      <c r="B101" s="983"/>
      <c r="C101" s="983">
        <f>IF(Расходы_2[[#This Row],[КОСГУ]]&gt;=
IF(SUBTOTAL(109,N100)&gt;0,SUBTOTAL(109,N100),
IF(SUBTOTAL(109,N99)&gt;0,SUBTOTAL(109,N99),
IF(SUBTOTAL(109,N98)&gt;0,SUBTOTAL(109,N98),
IF(SUBTOTAL(109,N97)&gt;0,SUBTOTAL(109,N97),
IF(SUBTOTAL(109,N96)&gt;0,SUBTOTAL(109,N96),
IF(SUBTOTAL(109,N95)&gt;0,SUBTOTAL(109,N95),
IF(SUBTOTAL(109,N94)&gt;0,SUBTOTAL(109,N94),
IF(SUBTOTAL(109,N93)&gt;0,SUBTOTAL(109,N93),
IF(SUBTOTAL(109,N92)&gt;0,SUBTOTAL(109,N92),
IF(SUBTOTAL(109,N91)&gt;0,SUBTOTAL(109,N91),
IF(SUBTOTAL(109,N90)&gt;0,SUBTOTAL(109,N91),
IF(SUBTOTAL(109,N89)&gt;0,SUBTOTAL(109,N89),
IF(SUBTOTAL(109,N88)&gt;0,SUBTOTAL(109,N88),
IF(SUBTOTAL(109,N87)&gt;0,SUBTOTAL(109,N87),
IF(SUBTOTAL(109,N86)&gt;0,SUBTOTAL(109,N86),
IF(SUBTOTAL(109,N85)&gt;0,SUBTOTAL(109,N85),
IF(SUBTOTAL(109,N84)&gt;0,SUBTOTAL(109,N84),
IF(SUBTOTAL(109,N83)&gt;0,SUBTOTAL(109,N83),
IF(SUBTOTAL(109,N82)&gt;0,SUBTOTAL(109,N82),
))))))))))))))))))),1,0)</f>
        <v>1</v>
      </c>
      <c r="D101" s="983">
        <f>IF(Расходы_2[[#This Row],[КВР]]&gt;
IF(SUBTOTAL(109,L100)&gt;0,SUBTOTAL(109,L100),
IF(SUBTOTAL(109,L99)&gt;0,SUBTOTAL(109,L99),
IF(SUBTOTAL(109,L98)&gt;0,SUBTOTAL(109,L98),
IF(SUBTOTAL(109,L97)&gt;0,SUBTOTAL(109,L97),
IF(SUBTOTAL(109,L96)&gt;0,SUBTOTAL(109,L96),
IF(SUBTOTAL(109,L95)&gt;0,SUBTOTAL(109,L95),
IF(SUBTOTAL(109,L94)&gt;0,SUBTOTAL(109,L94),
IF(SUBTOTAL(109,L93)&gt;0,SUBTOTAL(109,L93),
IF(SUBTOTAL(109,L92)&gt;0,SUBTOTAL(109,L92),
IF(SUBTOTAL(109,L91)&gt;0,SUBTOTAL(109,L91),
IF(SUBTOTAL(109,L90)&gt;0,SUBTOTAL(109,L91),
IF(SUBTOTAL(109,L89)&gt;0,SUBTOTAL(109,L89),
IF(SUBTOTAL(109,L88)&gt;0,SUBTOTAL(109,L88),
IF(SUBTOTAL(109,L87)&gt;0,SUBTOTAL(109,L87),
IF(SUBTOTAL(109,L86)&gt;0,SUBTOTAL(109,L86),
IF(SUBTOTAL(109,L85)&gt;0,SUBTOTAL(109,L85),
IF(SUBTOTAL(109,L84)&gt;0,SUBTOTAL(109,L84),
IF(SUBTOTAL(109,L83)&gt;0,SUBTOTAL(109,L83),
IF(SUBTOTAL(109,L82)&gt;0,SUBTOTAL(109,L82),
))))))))))))))))))),1,0)</f>
        <v>0</v>
      </c>
      <c r="E101" s="983">
        <f>IF(AND(Расходы_2[[#This Row],[КЦ]]="14561Э",M100="14561Т"),1,
IF(Расходы_2[[#This Row],[КЦ]]&gt;
IF(SUBTOTAL(109,M100)&gt;0,SUBTOTAL(109,M100),
IF(SUBTOTAL(109,M99)&gt;0,SUBTOTAL(109,M99),
IF(SUBTOTAL(109,M98)&gt;0,SUBTOTAL(109,M98),
IF(SUBTOTAL(109,M97)&gt;0,SUBTOTAL(109,M97),
IF(SUBTOTAL(109,M96)&gt;0,SUBTOTAL(109,M96),
IF(SUBTOTAL(109,M95)&gt;0,SUBTOTAL(109,M95))))))),1,0))</f>
        <v>0</v>
      </c>
      <c r="F101" s="983">
        <f>IF(Расходы_2[[#This Row],[КОСГУ]]&gt;
IF(SUBTOTAL(109,N100)&gt;0,SUBTOTAL(109,N100),
IF(SUBTOTAL(109,N99)&gt;0,SUBTOTAL(109,N99),
IF(SUBTOTAL(109,N98)&gt;0,SUBTOTAL(109,N98),
IF(SUBTOTAL(109,N97)&gt;0,SUBTOTAL(109,N97),
IF(SUBTOTAL(109,N96)&gt;0,SUBTOTAL(109,N96),
IF(SUBTOTAL(109,N95)&gt;0,SUBTOTAL(109,N95),
IF(SUBTOTAL(109,N94)&gt;0,SUBTOTAL(109,N94),
IF(SUBTOTAL(109,N93)&gt;0,SUBTOTAL(109,N93),
IF(SUBTOTAL(109,N92)&gt;0,SUBTOTAL(109,N92),
IF(SUBTOTAL(109,N91)&gt;0,SUBTOTAL(109,N91),
IF(SUBTOTAL(109,N90)&gt;0,SUBTOTAL(109,N91),
IF(SUBTOTAL(109,N89)&gt;0,SUBTOTAL(109,N89),
IF(SUBTOTAL(109,N88)&gt;0,SUBTOTAL(109,N88),
IF(SUBTOTAL(109,N87)&gt;0,SUBTOTAL(109,N87),
IF(SUBTOTAL(109,N86)&gt;0,SUBTOTAL(109,N86),
IF(SUBTOTAL(109,N85)&gt;0,SUBTOTAL(109,N85),
IF(SUBTOTAL(109,N84)&gt;0,SUBTOTAL(109,N84),
IF(SUBTOTAL(109,N83)&gt;0,SUBTOTAL(109,N83),
IF(SUBTOTAL(109,N82)&gt;0,SUBTOTAL(109,N82),
))))))))))))))))))),1,0)</f>
        <v>0</v>
      </c>
      <c r="G101" s="983" t="e">
        <f ca="1">_xlfn.AGGREGATE(9,5,$D$69:D101)</f>
        <v>#NAME?</v>
      </c>
      <c r="H101" s="983" t="e">
        <f ca="1">_xlfn.AGGREGATE(9,5,$E$69:E101)</f>
        <v>#NAME?</v>
      </c>
      <c r="I101" s="983" t="e">
        <f ca="1">_xlfn.AGGREGATE(9,5,$F$69:F101)</f>
        <v>#NAME?</v>
      </c>
      <c r="J101" s="964" t="str">
        <f>IF(SUM(Расходы_2[[#This Row],[2 025]:[2 027]])=0,"000",".")</f>
        <v>.</v>
      </c>
      <c r="K101" s="965">
        <v>2</v>
      </c>
      <c r="L101" s="908">
        <v>247</v>
      </c>
      <c r="M101" s="966"/>
      <c r="N101" s="908">
        <v>223</v>
      </c>
      <c r="O101" s="1303">
        <v>200000</v>
      </c>
      <c r="P101" s="1303">
        <v>200000</v>
      </c>
      <c r="Q101" s="1303">
        <v>200000</v>
      </c>
      <c r="R101" s="1239" t="s">
        <v>787</v>
      </c>
      <c r="S101" s="1128"/>
      <c r="Y101" s="959"/>
      <c r="Z101" s="959"/>
      <c r="AA101" s="959"/>
      <c r="AB101" s="963"/>
      <c r="AE101" s="51">
        <f>COUNT(102,$AF$69:AF101)-1</f>
        <v>33</v>
      </c>
      <c r="AF101" s="50">
        <v>1</v>
      </c>
    </row>
    <row r="102" spans="1:32" ht="20.25" customHeight="1">
      <c r="A102" s="983">
        <f>IF(Расходы_2[[#This Row],[КВР]]&gt;=
IF(SUBTOTAL(109,L101)&gt;0,SUBTOTAL(109,L101),
IF(SUBTOTAL(109,L100)&gt;0,SUBTOTAL(109,L100),
IF(SUBTOTAL(109,L99)&gt;0,SUBTOTAL(109,L99),
IF(SUBTOTAL(109,L98)&gt;0,SUBTOTAL(109,L98),
IF(SUBTOTAL(109,L97)&gt;0,SUBTOTAL(109,L97),
IF(SUBTOTAL(109,L96)&gt;0,SUBTOTAL(109,L96),
IF(SUBTOTAL(109,L95)&gt;0,SUBTOTAL(109,L95),
IF(SUBTOTAL(109,L94)&gt;0,SUBTOTAL(109,L94),
IF(SUBTOTAL(109,L93)&gt;0,SUBTOTAL(109,L93),
IF(SUBTOTAL(109,L92)&gt;0,SUBTOTAL(109,L92),
IF(SUBTOTAL(109,L91)&gt;0,SUBTOTAL(109,L92),
IF(SUBTOTAL(109,L90)&gt;0,SUBTOTAL(109,L90),
IF(SUBTOTAL(109,L89)&gt;0,SUBTOTAL(109,L89),
IF(SUBTOTAL(109,L88)&gt;0,SUBTOTAL(109,L88),
IF(SUBTOTAL(109,L87)&gt;0,SUBTOTAL(109,L87),
IF(SUBTOTAL(109,L86)&gt;0,SUBTOTAL(109,L86),
IF(SUBTOTAL(109,L85)&gt;0,SUBTOTAL(109,L85),
IF(SUBTOTAL(109,L84)&gt;0,SUBTOTAL(109,L84),
IF(SUBTOTAL(109,L83)&gt;0,SUBTOTAL(109,L83),
))))))))))))))))))),1,0)</f>
        <v>1</v>
      </c>
      <c r="B102" s="983"/>
      <c r="C102" s="983">
        <f>IF(Расходы_2[[#This Row],[КОСГУ]]&gt;=
IF(SUBTOTAL(109,N101)&gt;0,SUBTOTAL(109,N101),
IF(SUBTOTAL(109,N100)&gt;0,SUBTOTAL(109,N100),
IF(SUBTOTAL(109,N99)&gt;0,SUBTOTAL(109,N99),
IF(SUBTOTAL(109,N98)&gt;0,SUBTOTAL(109,N98),
IF(SUBTOTAL(109,N97)&gt;0,SUBTOTAL(109,N97),
IF(SUBTOTAL(109,N96)&gt;0,SUBTOTAL(109,N96),
IF(SUBTOTAL(109,N95)&gt;0,SUBTOTAL(109,N95),
IF(SUBTOTAL(109,N94)&gt;0,SUBTOTAL(109,N94),
IF(SUBTOTAL(109,N93)&gt;0,SUBTOTAL(109,N93),
IF(SUBTOTAL(109,N92)&gt;0,SUBTOTAL(109,N92),
IF(SUBTOTAL(109,N91)&gt;0,SUBTOTAL(109,N92),
IF(SUBTOTAL(109,N90)&gt;0,SUBTOTAL(109,N90),
IF(SUBTOTAL(109,N89)&gt;0,SUBTOTAL(109,N89),
IF(SUBTOTAL(109,N88)&gt;0,SUBTOTAL(109,N88),
IF(SUBTOTAL(109,N87)&gt;0,SUBTOTAL(109,N87),
IF(SUBTOTAL(109,N86)&gt;0,SUBTOTAL(109,N86),
IF(SUBTOTAL(109,N85)&gt;0,SUBTOTAL(109,N85),
IF(SUBTOTAL(109,N84)&gt;0,SUBTOTAL(109,N84),
IF(SUBTOTAL(109,N83)&gt;0,SUBTOTAL(109,N83),
))))))))))))))))))),1,0)</f>
        <v>1</v>
      </c>
      <c r="D102" s="983">
        <f>IF(Расходы_2[[#This Row],[КВР]]&gt;
IF(SUBTOTAL(109,L101)&gt;0,SUBTOTAL(109,L101),
IF(SUBTOTAL(109,L100)&gt;0,SUBTOTAL(109,L100),
IF(SUBTOTAL(109,L99)&gt;0,SUBTOTAL(109,L99),
IF(SUBTOTAL(109,L98)&gt;0,SUBTOTAL(109,L98),
IF(SUBTOTAL(109,L97)&gt;0,SUBTOTAL(109,L97),
IF(SUBTOTAL(109,L96)&gt;0,SUBTOTAL(109,L96),
IF(SUBTOTAL(109,L95)&gt;0,SUBTOTAL(109,L95),
IF(SUBTOTAL(109,L94)&gt;0,SUBTOTAL(109,L94),
IF(SUBTOTAL(109,L93)&gt;0,SUBTOTAL(109,L93),
IF(SUBTOTAL(109,L92)&gt;0,SUBTOTAL(109,L92),
IF(SUBTOTAL(109,L91)&gt;0,SUBTOTAL(109,L92),
IF(SUBTOTAL(109,L90)&gt;0,SUBTOTAL(109,L90),
IF(SUBTOTAL(109,L89)&gt;0,SUBTOTAL(109,L89),
IF(SUBTOTAL(109,L88)&gt;0,SUBTOTAL(109,L88),
IF(SUBTOTAL(109,L87)&gt;0,SUBTOTAL(109,L87),
IF(SUBTOTAL(109,L86)&gt;0,SUBTOTAL(109,L86),
IF(SUBTOTAL(109,L85)&gt;0,SUBTOTAL(109,L85),
IF(SUBTOTAL(109,L84)&gt;0,SUBTOTAL(109,L84),
IF(SUBTOTAL(109,L83)&gt;0,SUBTOTAL(109,L83),
))))))))))))))))))),1,0)</f>
        <v>0</v>
      </c>
      <c r="E102" s="983">
        <f>IF(AND(Расходы_2[[#This Row],[КЦ]]="14561Э",M101="14561Т"),1,
IF(Расходы_2[[#This Row],[КЦ]]&gt;
IF(SUBTOTAL(109,M101)&gt;0,SUBTOTAL(109,M101),
IF(SUBTOTAL(109,M100)&gt;0,SUBTOTAL(109,M100),
IF(SUBTOTAL(109,M99)&gt;0,SUBTOTAL(109,M99),
IF(SUBTOTAL(109,M98)&gt;0,SUBTOTAL(109,M98),
IF(SUBTOTAL(109,M97)&gt;0,SUBTOTAL(109,M97),
IF(SUBTOTAL(109,M96)&gt;0,SUBTOTAL(109,M96))))))),1,0))</f>
        <v>0</v>
      </c>
      <c r="F102" s="983">
        <f>IF(Расходы_2[[#This Row],[КОСГУ]]&gt;
IF(SUBTOTAL(109,N101)&gt;0,SUBTOTAL(109,N101),
IF(SUBTOTAL(109,N100)&gt;0,SUBTOTAL(109,N100),
IF(SUBTOTAL(109,N99)&gt;0,SUBTOTAL(109,N99),
IF(SUBTOTAL(109,N98)&gt;0,SUBTOTAL(109,N98),
IF(SUBTOTAL(109,N97)&gt;0,SUBTOTAL(109,N97),
IF(SUBTOTAL(109,N96)&gt;0,SUBTOTAL(109,N96),
IF(SUBTOTAL(109,N95)&gt;0,SUBTOTAL(109,N95),
IF(SUBTOTAL(109,N94)&gt;0,SUBTOTAL(109,N94),
IF(SUBTOTAL(109,N93)&gt;0,SUBTOTAL(109,N93),
IF(SUBTOTAL(109,N92)&gt;0,SUBTOTAL(109,N92),
IF(SUBTOTAL(109,N91)&gt;0,SUBTOTAL(109,N92),
IF(SUBTOTAL(109,N90)&gt;0,SUBTOTAL(109,N90),
IF(SUBTOTAL(109,N89)&gt;0,SUBTOTAL(109,N89),
IF(SUBTOTAL(109,N88)&gt;0,SUBTOTAL(109,N88),
IF(SUBTOTAL(109,N87)&gt;0,SUBTOTAL(109,N87),
IF(SUBTOTAL(109,N86)&gt;0,SUBTOTAL(109,N86),
IF(SUBTOTAL(109,N85)&gt;0,SUBTOTAL(109,N85),
IF(SUBTOTAL(109,N84)&gt;0,SUBTOTAL(109,N84),
IF(SUBTOTAL(109,N83)&gt;0,SUBTOTAL(109,N83),
))))))))))))))))))),1,0)</f>
        <v>0</v>
      </c>
      <c r="G102" s="983" t="e">
        <f ca="1">_xlfn.AGGREGATE(9,5,$D$69:D102)</f>
        <v>#NAME?</v>
      </c>
      <c r="H102" s="983" t="e">
        <f ca="1">_xlfn.AGGREGATE(9,5,$E$69:E102)</f>
        <v>#NAME?</v>
      </c>
      <c r="I102" s="983" t="e">
        <f ca="1">_xlfn.AGGREGATE(9,5,$F$69:F102)</f>
        <v>#NAME?</v>
      </c>
      <c r="J102" s="964" t="str">
        <f>IF(SUM(Расходы_2[[#This Row],[2 025]:[2 027]])=0,"000",".")</f>
        <v>.</v>
      </c>
      <c r="K102" s="965">
        <v>2</v>
      </c>
      <c r="L102" s="908">
        <v>247</v>
      </c>
      <c r="M102" s="966"/>
      <c r="N102" s="908">
        <v>223</v>
      </c>
      <c r="O102" s="1305">
        <f>360000-30000</f>
        <v>330000</v>
      </c>
      <c r="P102" s="1305">
        <v>360000</v>
      </c>
      <c r="Q102" s="1305">
        <v>360000</v>
      </c>
      <c r="R102" s="1239" t="s">
        <v>786</v>
      </c>
      <c r="S102" s="1128"/>
      <c r="X102" s="914"/>
      <c r="Y102" s="959"/>
      <c r="Z102" s="959"/>
      <c r="AA102" s="959"/>
      <c r="AB102" s="963"/>
      <c r="AE102" s="51">
        <f>COUNT(102,$AF$69:AF102)-1</f>
        <v>34</v>
      </c>
      <c r="AF102" s="50">
        <v>1</v>
      </c>
    </row>
    <row r="103" spans="1:32" ht="20.25" customHeight="1">
      <c r="A103" s="983">
        <f>IF(Расходы_2[[#This Row],[КВР]]&gt;=
IF(SUBTOTAL(109,L102)&gt;0,SUBTOTAL(109,L102),
IF(SUBTOTAL(109,L101)&gt;0,SUBTOTAL(109,L101),
IF(SUBTOTAL(109,L100)&gt;0,SUBTOTAL(109,L100),
IF(SUBTOTAL(109,L99)&gt;0,SUBTOTAL(109,L99),
IF(SUBTOTAL(109,L98)&gt;0,SUBTOTAL(109,L98),
IF(SUBTOTAL(109,L97)&gt;0,SUBTOTAL(109,L97),
IF(SUBTOTAL(109,L96)&gt;0,SUBTOTAL(109,L96),
IF(SUBTOTAL(109,L95)&gt;0,SUBTOTAL(109,L95),
IF(SUBTOTAL(109,L94)&gt;0,SUBTOTAL(109,L94),
IF(SUBTOTAL(109,L93)&gt;0,SUBTOTAL(109,L93),
IF(SUBTOTAL(109,L92)&gt;0,SUBTOTAL(109,L93),
IF(SUBTOTAL(109,L91)&gt;0,SUBTOTAL(109,L91),
IF(SUBTOTAL(109,L90)&gt;0,SUBTOTAL(109,L90),
IF(SUBTOTAL(109,L89)&gt;0,SUBTOTAL(109,L89),
IF(SUBTOTAL(109,L88)&gt;0,SUBTOTAL(109,L88),
IF(SUBTOTAL(109,L87)&gt;0,SUBTOTAL(109,L87),
IF(SUBTOTAL(109,L86)&gt;0,SUBTOTAL(109,L86),
IF(SUBTOTAL(109,L85)&gt;0,SUBTOTAL(109,L85),
IF(SUBTOTAL(109,L84)&gt;0,SUBTOTAL(109,L84),
))))))))))))))))))),1,0)</f>
        <v>1</v>
      </c>
      <c r="B103" s="983"/>
      <c r="C103" s="983">
        <f>IF(Расходы_2[[#This Row],[КОСГУ]]&gt;=
IF(SUBTOTAL(109,N102)&gt;0,SUBTOTAL(109,N102),
IF(SUBTOTAL(109,N101)&gt;0,SUBTOTAL(109,N101),
IF(SUBTOTAL(109,N100)&gt;0,SUBTOTAL(109,N100),
IF(SUBTOTAL(109,N99)&gt;0,SUBTOTAL(109,N99),
IF(SUBTOTAL(109,N98)&gt;0,SUBTOTAL(109,N98),
IF(SUBTOTAL(109,N97)&gt;0,SUBTOTAL(109,N97),
IF(SUBTOTAL(109,N96)&gt;0,SUBTOTAL(109,N96),
IF(SUBTOTAL(109,N95)&gt;0,SUBTOTAL(109,N95),
IF(SUBTOTAL(109,N94)&gt;0,SUBTOTAL(109,N94),
IF(SUBTOTAL(109,N93)&gt;0,SUBTOTAL(109,N93),
IF(SUBTOTAL(109,N92)&gt;0,SUBTOTAL(109,N93),
IF(SUBTOTAL(109,N91)&gt;0,SUBTOTAL(109,N91),
IF(SUBTOTAL(109,N90)&gt;0,SUBTOTAL(109,N90),
IF(SUBTOTAL(109,N89)&gt;0,SUBTOTAL(109,N89),
IF(SUBTOTAL(109,N88)&gt;0,SUBTOTAL(109,N88),
IF(SUBTOTAL(109,N87)&gt;0,SUBTOTAL(109,N87),
IF(SUBTOTAL(109,N86)&gt;0,SUBTOTAL(109,N86),
IF(SUBTOTAL(109,N85)&gt;0,SUBTOTAL(109,N85),
IF(SUBTOTAL(109,N84)&gt;0,SUBTOTAL(109,N84),
))))))))))))))))))),1,0)</f>
        <v>1</v>
      </c>
      <c r="D103" s="983">
        <f>IF(Расходы_2[[#This Row],[КВР]]&gt;
IF(SUBTOTAL(109,L102)&gt;0,SUBTOTAL(109,L102),
IF(SUBTOTAL(109,L101)&gt;0,SUBTOTAL(109,L101),
IF(SUBTOTAL(109,L100)&gt;0,SUBTOTAL(109,L100),
IF(SUBTOTAL(109,L99)&gt;0,SUBTOTAL(109,L99),
IF(SUBTOTAL(109,L98)&gt;0,SUBTOTAL(109,L98),
IF(SUBTOTAL(109,L97)&gt;0,SUBTOTAL(109,L97),
IF(SUBTOTAL(109,L96)&gt;0,SUBTOTAL(109,L96),
IF(SUBTOTAL(109,L95)&gt;0,SUBTOTAL(109,L95),
IF(SUBTOTAL(109,L94)&gt;0,SUBTOTAL(109,L94),
IF(SUBTOTAL(109,L93)&gt;0,SUBTOTAL(109,L93),
IF(SUBTOTAL(109,L92)&gt;0,SUBTOTAL(109,L93),
IF(SUBTOTAL(109,L91)&gt;0,SUBTOTAL(109,L91),
IF(SUBTOTAL(109,L90)&gt;0,SUBTOTAL(109,L90),
IF(SUBTOTAL(109,L89)&gt;0,SUBTOTAL(109,L89),
IF(SUBTOTAL(109,L88)&gt;0,SUBTOTAL(109,L88),
IF(SUBTOTAL(109,L87)&gt;0,SUBTOTAL(109,L87),
IF(SUBTOTAL(109,L86)&gt;0,SUBTOTAL(109,L86),
IF(SUBTOTAL(109,L85)&gt;0,SUBTOTAL(109,L85),
IF(SUBTOTAL(109,L84)&gt;0,SUBTOTAL(109,L84),
))))))))))))))))))),1,0)</f>
        <v>1</v>
      </c>
      <c r="E103" s="983">
        <f>IF(AND(Расходы_2[[#This Row],[КЦ]]="14561Э",M102="14561Т"),1,
IF(Расходы_2[[#This Row],[КЦ]]&gt;
IF(SUBTOTAL(109,M102)&gt;0,SUBTOTAL(109,M102),
IF(SUBTOTAL(109,M101)&gt;0,SUBTOTAL(109,M101),
IF(SUBTOTAL(109,M100)&gt;0,SUBTOTAL(109,M100),
IF(SUBTOTAL(109,M99)&gt;0,SUBTOTAL(109,M99),
IF(SUBTOTAL(109,M98)&gt;0,SUBTOTAL(109,M98),
IF(SUBTOTAL(109,M97)&gt;0,SUBTOTAL(109,M97))))))),1,0))</f>
        <v>0</v>
      </c>
      <c r="F103" s="983">
        <f>IF(Расходы_2[[#This Row],[КОСГУ]]&gt;
IF(SUBTOTAL(109,N102)&gt;0,SUBTOTAL(109,N102),
IF(SUBTOTAL(109,N101)&gt;0,SUBTOTAL(109,N101),
IF(SUBTOTAL(109,N100)&gt;0,SUBTOTAL(109,N100),
IF(SUBTOTAL(109,N99)&gt;0,SUBTOTAL(109,N99),
IF(SUBTOTAL(109,N98)&gt;0,SUBTOTAL(109,N98),
IF(SUBTOTAL(109,N97)&gt;0,SUBTOTAL(109,N97),
IF(SUBTOTAL(109,N96)&gt;0,SUBTOTAL(109,N96),
IF(SUBTOTAL(109,N95)&gt;0,SUBTOTAL(109,N95),
IF(SUBTOTAL(109,N94)&gt;0,SUBTOTAL(109,N94),
IF(SUBTOTAL(109,N93)&gt;0,SUBTOTAL(109,N93),
IF(SUBTOTAL(109,N92)&gt;0,SUBTOTAL(109,N93),
IF(SUBTOTAL(109,N91)&gt;0,SUBTOTAL(109,N91),
IF(SUBTOTAL(109,N90)&gt;0,SUBTOTAL(109,N90),
IF(SUBTOTAL(109,N89)&gt;0,SUBTOTAL(109,N89),
IF(SUBTOTAL(109,N88)&gt;0,SUBTOTAL(109,N88),
IF(SUBTOTAL(109,N87)&gt;0,SUBTOTAL(109,N87),
IF(SUBTOTAL(109,N86)&gt;0,SUBTOTAL(109,N86),
IF(SUBTOTAL(109,N85)&gt;0,SUBTOTAL(109,N85),
IF(SUBTOTAL(109,N84)&gt;0,SUBTOTAL(109,N84),
))))))))))))))))))),1,0)</f>
        <v>1</v>
      </c>
      <c r="G103" s="983" t="e">
        <f ca="1">_xlfn.AGGREGATE(9,5,$D$69:D103)</f>
        <v>#NAME?</v>
      </c>
      <c r="H103" s="983" t="e">
        <f ca="1">_xlfn.AGGREGATE(9,5,$E$69:E103)</f>
        <v>#NAME?</v>
      </c>
      <c r="I103" s="983" t="e">
        <f ca="1">_xlfn.AGGREGATE(9,5,$F$69:F103)</f>
        <v>#NAME?</v>
      </c>
      <c r="J103" s="964" t="str">
        <f>IF(SUM(Расходы_2[[#This Row],[2 025]:[2 027]])=0,"000",".")</f>
        <v>000</v>
      </c>
      <c r="K103" s="965">
        <v>2</v>
      </c>
      <c r="L103" s="908">
        <v>321</v>
      </c>
      <c r="M103" s="966"/>
      <c r="N103" s="908">
        <v>264</v>
      </c>
      <c r="O103" s="961"/>
      <c r="P103" s="961"/>
      <c r="Q103" s="961"/>
      <c r="R103" s="1239" t="s">
        <v>934</v>
      </c>
      <c r="S103" s="1128"/>
      <c r="Y103" s="959"/>
      <c r="Z103" s="959"/>
      <c r="AA103" s="959"/>
      <c r="AB103" s="963"/>
      <c r="AE103" s="51">
        <f>COUNT(102,$AF$69:AF103)-1</f>
        <v>35</v>
      </c>
      <c r="AF103" s="50">
        <v>1</v>
      </c>
    </row>
    <row r="104" spans="1:32" ht="20.25" customHeight="1">
      <c r="A104" s="983">
        <f>IF(Расходы_2[[#This Row],[КВР]]&gt;=
IF(SUBTOTAL(109,L103)&gt;0,SUBTOTAL(109,L103),
IF(SUBTOTAL(109,L102)&gt;0,SUBTOTAL(109,L102),
IF(SUBTOTAL(109,L101)&gt;0,SUBTOTAL(109,L101),
IF(SUBTOTAL(109,L100)&gt;0,SUBTOTAL(109,L100),
IF(SUBTOTAL(109,L99)&gt;0,SUBTOTAL(109,L99),
IF(SUBTOTAL(109,L98)&gt;0,SUBTOTAL(109,L98),
IF(SUBTOTAL(109,L97)&gt;0,SUBTOTAL(109,L97),
IF(SUBTOTAL(109,L96)&gt;0,SUBTOTAL(109,L96),
IF(SUBTOTAL(109,L95)&gt;0,SUBTOTAL(109,L95),
IF(SUBTOTAL(109,L94)&gt;0,SUBTOTAL(109,L94),
IF(SUBTOTAL(109,L93)&gt;0,SUBTOTAL(109,L94),
IF(SUBTOTAL(109,L92)&gt;0,SUBTOTAL(109,L92),
IF(SUBTOTAL(109,L91)&gt;0,SUBTOTAL(109,L91),
IF(SUBTOTAL(109,L90)&gt;0,SUBTOTAL(109,L90),
IF(SUBTOTAL(109,L89)&gt;0,SUBTOTAL(109,L89),
IF(SUBTOTAL(109,L88)&gt;0,SUBTOTAL(109,L88),
IF(SUBTOTAL(109,L87)&gt;0,SUBTOTAL(109,L87),
IF(SUBTOTAL(109,L86)&gt;0,SUBTOTAL(109,L86),
IF(SUBTOTAL(109,L85)&gt;0,SUBTOTAL(109,L85),
))))))))))))))))))),1,0)</f>
        <v>1</v>
      </c>
      <c r="B104" s="983"/>
      <c r="C104" s="983">
        <f>IF(Расходы_2[[#This Row],[КОСГУ]]&gt;=
IF(SUBTOTAL(109,N103)&gt;0,SUBTOTAL(109,N103),
IF(SUBTOTAL(109,N102)&gt;0,SUBTOTAL(109,N102),
IF(SUBTOTAL(109,N101)&gt;0,SUBTOTAL(109,N101),
IF(SUBTOTAL(109,N100)&gt;0,SUBTOTAL(109,N100),
IF(SUBTOTAL(109,N99)&gt;0,SUBTOTAL(109,N99),
IF(SUBTOTAL(109,N98)&gt;0,SUBTOTAL(109,N98),
IF(SUBTOTAL(109,N97)&gt;0,SUBTOTAL(109,N97),
IF(SUBTOTAL(109,N96)&gt;0,SUBTOTAL(109,N96),
IF(SUBTOTAL(109,N95)&gt;0,SUBTOTAL(109,N95),
IF(SUBTOTAL(109,N94)&gt;0,SUBTOTAL(109,N94),
IF(SUBTOTAL(109,N93)&gt;0,SUBTOTAL(109,N94),
IF(SUBTOTAL(109,N92)&gt;0,SUBTOTAL(109,N92),
IF(SUBTOTAL(109,N91)&gt;0,SUBTOTAL(109,N91),
IF(SUBTOTAL(109,N90)&gt;0,SUBTOTAL(109,N90),
IF(SUBTOTAL(109,N89)&gt;0,SUBTOTAL(109,N89),
IF(SUBTOTAL(109,N88)&gt;0,SUBTOTAL(109,N88),
IF(SUBTOTAL(109,N87)&gt;0,SUBTOTAL(109,N87),
IF(SUBTOTAL(109,N86)&gt;0,SUBTOTAL(109,N86),
IF(SUBTOTAL(109,N85)&gt;0,SUBTOTAL(109,N85),
))))))))))))))))))),1,0)</f>
        <v>1</v>
      </c>
      <c r="D104" s="983">
        <f>IF(Расходы_2[[#This Row],[КВР]]&gt;
IF(SUBTOTAL(109,L103)&gt;0,SUBTOTAL(109,L103),
IF(SUBTOTAL(109,L102)&gt;0,SUBTOTAL(109,L102),
IF(SUBTOTAL(109,L101)&gt;0,SUBTOTAL(109,L101),
IF(SUBTOTAL(109,L100)&gt;0,SUBTOTAL(109,L100),
IF(SUBTOTAL(109,L99)&gt;0,SUBTOTAL(109,L99),
IF(SUBTOTAL(109,L98)&gt;0,SUBTOTAL(109,L98),
IF(SUBTOTAL(109,L97)&gt;0,SUBTOTAL(109,L97),
IF(SUBTOTAL(109,L96)&gt;0,SUBTOTAL(109,L96),
IF(SUBTOTAL(109,L95)&gt;0,SUBTOTAL(109,L95),
IF(SUBTOTAL(109,L94)&gt;0,SUBTOTAL(109,L94),
IF(SUBTOTAL(109,L93)&gt;0,SUBTOTAL(109,L94),
IF(SUBTOTAL(109,L92)&gt;0,SUBTOTAL(109,L92),
IF(SUBTOTAL(109,L91)&gt;0,SUBTOTAL(109,L91),
IF(SUBTOTAL(109,L90)&gt;0,SUBTOTAL(109,L90),
IF(SUBTOTAL(109,L89)&gt;0,SUBTOTAL(109,L89),
IF(SUBTOTAL(109,L88)&gt;0,SUBTOTAL(109,L88),
IF(SUBTOTAL(109,L87)&gt;0,SUBTOTAL(109,L87),
IF(SUBTOTAL(109,L86)&gt;0,SUBTOTAL(109,L86),
IF(SUBTOTAL(109,L85)&gt;0,SUBTOTAL(109,L85),
))))))))))))))))))),1,0)</f>
        <v>0</v>
      </c>
      <c r="E104" s="983">
        <f>IF(AND(Расходы_2[[#This Row],[КЦ]]="14561Э",M103="14561Т"),1,
IF(Расходы_2[[#This Row],[КЦ]]&gt;
IF(SUBTOTAL(109,M103)&gt;0,SUBTOTAL(109,M103),
IF(SUBTOTAL(109,M102)&gt;0,SUBTOTAL(109,M102),
IF(SUBTOTAL(109,M101)&gt;0,SUBTOTAL(109,M101),
IF(SUBTOTAL(109,M100)&gt;0,SUBTOTAL(109,M100),
IF(SUBTOTAL(109,M99)&gt;0,SUBTOTAL(109,M99),
IF(SUBTOTAL(109,M98)&gt;0,SUBTOTAL(109,M98))))))),1,0))</f>
        <v>0</v>
      </c>
      <c r="F104" s="983">
        <f>IF(Расходы_2[[#This Row],[КОСГУ]]&gt;
IF(SUBTOTAL(109,N103)&gt;0,SUBTOTAL(109,N103),
IF(SUBTOTAL(109,N102)&gt;0,SUBTOTAL(109,N102),
IF(SUBTOTAL(109,N101)&gt;0,SUBTOTAL(109,N101),
IF(SUBTOTAL(109,N100)&gt;0,SUBTOTAL(109,N100),
IF(SUBTOTAL(109,N99)&gt;0,SUBTOTAL(109,N99),
IF(SUBTOTAL(109,N98)&gt;0,SUBTOTAL(109,N98),
IF(SUBTOTAL(109,N97)&gt;0,SUBTOTAL(109,N97),
IF(SUBTOTAL(109,N96)&gt;0,SUBTOTAL(109,N96),
IF(SUBTOTAL(109,N95)&gt;0,SUBTOTAL(109,N95),
IF(SUBTOTAL(109,N94)&gt;0,SUBTOTAL(109,N94),
IF(SUBTOTAL(109,N93)&gt;0,SUBTOTAL(109,N94),
IF(SUBTOTAL(109,N92)&gt;0,SUBTOTAL(109,N92),
IF(SUBTOTAL(109,N91)&gt;0,SUBTOTAL(109,N91),
IF(SUBTOTAL(109,N90)&gt;0,SUBTOTAL(109,N90),
IF(SUBTOTAL(109,N89)&gt;0,SUBTOTAL(109,N89),
IF(SUBTOTAL(109,N88)&gt;0,SUBTOTAL(109,N88),
IF(SUBTOTAL(109,N87)&gt;0,SUBTOTAL(109,N87),
IF(SUBTOTAL(109,N86)&gt;0,SUBTOTAL(109,N86),
IF(SUBTOTAL(109,N85)&gt;0,SUBTOTAL(109,N85),
))))))))))))))))))),1,0)</f>
        <v>1</v>
      </c>
      <c r="G104" s="983" t="e">
        <f ca="1">_xlfn.AGGREGATE(9,5,$D$69:D104)</f>
        <v>#NAME?</v>
      </c>
      <c r="H104" s="983" t="e">
        <f ca="1">_xlfn.AGGREGATE(9,5,$E$69:E104)</f>
        <v>#NAME?</v>
      </c>
      <c r="I104" s="983" t="e">
        <f ca="1">_xlfn.AGGREGATE(9,5,$F$69:F104)</f>
        <v>#NAME?</v>
      </c>
      <c r="J104" s="964" t="str">
        <f>IF(SUM(Расходы_2[[#This Row],[2 025]:[2 027]])=0,"000",".")</f>
        <v>000</v>
      </c>
      <c r="K104" s="965">
        <v>2</v>
      </c>
      <c r="L104" s="908">
        <v>321</v>
      </c>
      <c r="M104" s="966"/>
      <c r="N104" s="908">
        <v>265</v>
      </c>
      <c r="O104" s="961"/>
      <c r="P104" s="961"/>
      <c r="Q104" s="961"/>
      <c r="R104" s="1239" t="s">
        <v>255</v>
      </c>
      <c r="S104" s="1128"/>
      <c r="Y104" s="959"/>
      <c r="Z104" s="959"/>
      <c r="AA104" s="959"/>
      <c r="AB104" s="963"/>
      <c r="AE104" s="51">
        <f>COUNT(102,$AF$69:AF104)-1</f>
        <v>36</v>
      </c>
      <c r="AF104" s="50">
        <v>1</v>
      </c>
    </row>
    <row r="105" spans="1:32" ht="20.25" customHeight="1">
      <c r="A105" s="983">
        <f>IF(Расходы_2[[#This Row],[КВР]]&gt;=
IF(SUBTOTAL(109,L104)&gt;0,SUBTOTAL(109,L104),
IF(SUBTOTAL(109,L103)&gt;0,SUBTOTAL(109,L103),
IF(SUBTOTAL(109,L102)&gt;0,SUBTOTAL(109,L102),
IF(SUBTOTAL(109,L101)&gt;0,SUBTOTAL(109,L101),
IF(SUBTOTAL(109,L100)&gt;0,SUBTOTAL(109,L100),
IF(SUBTOTAL(109,L99)&gt;0,SUBTOTAL(109,L99),
IF(SUBTOTAL(109,L98)&gt;0,SUBTOTAL(109,L98),
IF(SUBTOTAL(109,L97)&gt;0,SUBTOTAL(109,L97),
IF(SUBTOTAL(109,L96)&gt;0,SUBTOTAL(109,L96),
IF(SUBTOTAL(109,L95)&gt;0,SUBTOTAL(109,L95),
IF(SUBTOTAL(109,L94)&gt;0,SUBTOTAL(109,L95),
IF(SUBTOTAL(109,L93)&gt;0,SUBTOTAL(109,L93),
IF(SUBTOTAL(109,L92)&gt;0,SUBTOTAL(109,L92),
IF(SUBTOTAL(109,L91)&gt;0,SUBTOTAL(109,L91),
IF(SUBTOTAL(109,L90)&gt;0,SUBTOTAL(109,L90),
IF(SUBTOTAL(109,L89)&gt;0,SUBTOTAL(109,L89),
IF(SUBTOTAL(109,L88)&gt;0,SUBTOTAL(109,L88),
IF(SUBTOTAL(109,L87)&gt;0,SUBTOTAL(109,L87),
IF(SUBTOTAL(109,L86)&gt;0,SUBTOTAL(109,L86),
))))))))))))))))))),1,0)</f>
        <v>1</v>
      </c>
      <c r="B105" s="983"/>
      <c r="C105" s="983">
        <f>IF(Расходы_2[[#This Row],[КОСГУ]]&gt;=
IF(SUBTOTAL(109,N104)&gt;0,SUBTOTAL(109,N104),
IF(SUBTOTAL(109,N103)&gt;0,SUBTOTAL(109,N103),
IF(SUBTOTAL(109,N102)&gt;0,SUBTOTAL(109,N102),
IF(SUBTOTAL(109,N101)&gt;0,SUBTOTAL(109,N101),
IF(SUBTOTAL(109,N100)&gt;0,SUBTOTAL(109,N100),
IF(SUBTOTAL(109,N99)&gt;0,SUBTOTAL(109,N99),
IF(SUBTOTAL(109,N98)&gt;0,SUBTOTAL(109,N98),
IF(SUBTOTAL(109,N97)&gt;0,SUBTOTAL(109,N97),
IF(SUBTOTAL(109,N96)&gt;0,SUBTOTAL(109,N96),
IF(SUBTOTAL(109,N95)&gt;0,SUBTOTAL(109,N95),
IF(SUBTOTAL(109,N94)&gt;0,SUBTOTAL(109,N95),
IF(SUBTOTAL(109,N93)&gt;0,SUBTOTAL(109,N93),
IF(SUBTOTAL(109,N92)&gt;0,SUBTOTAL(109,N92),
IF(SUBTOTAL(109,N91)&gt;0,SUBTOTAL(109,N91),
IF(SUBTOTAL(109,N90)&gt;0,SUBTOTAL(109,N90),
IF(SUBTOTAL(109,N89)&gt;0,SUBTOTAL(109,N89),
IF(SUBTOTAL(109,N88)&gt;0,SUBTOTAL(109,N88),
IF(SUBTOTAL(109,N87)&gt;0,SUBTOTAL(109,N87),
IF(SUBTOTAL(109,N86)&gt;0,SUBTOTAL(109,N86),
))))))))))))))))))),1,0)</f>
        <v>0</v>
      </c>
      <c r="D105" s="983">
        <f>IF(Расходы_2[[#This Row],[КВР]]&gt;
IF(SUBTOTAL(109,L104)&gt;0,SUBTOTAL(109,L104),
IF(SUBTOTAL(109,L103)&gt;0,SUBTOTAL(109,L103),
IF(SUBTOTAL(109,L102)&gt;0,SUBTOTAL(109,L102),
IF(SUBTOTAL(109,L101)&gt;0,SUBTOTAL(109,L101),
IF(SUBTOTAL(109,L100)&gt;0,SUBTOTAL(109,L100),
IF(SUBTOTAL(109,L99)&gt;0,SUBTOTAL(109,L99),
IF(SUBTOTAL(109,L98)&gt;0,SUBTOTAL(109,L98),
IF(SUBTOTAL(109,L97)&gt;0,SUBTOTAL(109,L97),
IF(SUBTOTAL(109,L96)&gt;0,SUBTOTAL(109,L96),
IF(SUBTOTAL(109,L95)&gt;0,SUBTOTAL(109,L95),
IF(SUBTOTAL(109,L94)&gt;0,SUBTOTAL(109,L95),
IF(SUBTOTAL(109,L93)&gt;0,SUBTOTAL(109,L93),
IF(SUBTOTAL(109,L92)&gt;0,SUBTOTAL(109,L92),
IF(SUBTOTAL(109,L91)&gt;0,SUBTOTAL(109,L91),
IF(SUBTOTAL(109,L90)&gt;0,SUBTOTAL(109,L90),
IF(SUBTOTAL(109,L89)&gt;0,SUBTOTAL(109,L89),
IF(SUBTOTAL(109,L88)&gt;0,SUBTOTAL(109,L88),
IF(SUBTOTAL(109,L87)&gt;0,SUBTOTAL(109,L87),
IF(SUBTOTAL(109,L86)&gt;0,SUBTOTAL(109,L86),
))))))))))))))))))),1,0)</f>
        <v>1</v>
      </c>
      <c r="E105" s="983">
        <f>IF(AND(Расходы_2[[#This Row],[КЦ]]="14561Э",M104="14561Т"),1,
IF(Расходы_2[[#This Row],[КЦ]]&gt;
IF(SUBTOTAL(109,M104)&gt;0,SUBTOTAL(109,M104),
IF(SUBTOTAL(109,M103)&gt;0,SUBTOTAL(109,M103),
IF(SUBTOTAL(109,M102)&gt;0,SUBTOTAL(109,M102),
IF(SUBTOTAL(109,M101)&gt;0,SUBTOTAL(109,M101),
IF(SUBTOTAL(109,M100)&gt;0,SUBTOTAL(109,M100),
IF(SUBTOTAL(109,M99)&gt;0,SUBTOTAL(109,M99))))))),1,0))</f>
        <v>0</v>
      </c>
      <c r="F105" s="983">
        <f>IF(Расходы_2[[#This Row],[КОСГУ]]&gt;
IF(SUBTOTAL(109,N104)&gt;0,SUBTOTAL(109,N104),
IF(SUBTOTAL(109,N103)&gt;0,SUBTOTAL(109,N103),
IF(SUBTOTAL(109,N102)&gt;0,SUBTOTAL(109,N102),
IF(SUBTOTAL(109,N101)&gt;0,SUBTOTAL(109,N101),
IF(SUBTOTAL(109,N100)&gt;0,SUBTOTAL(109,N100),
IF(SUBTOTAL(109,N99)&gt;0,SUBTOTAL(109,N99),
IF(SUBTOTAL(109,N98)&gt;0,SUBTOTAL(109,N98),
IF(SUBTOTAL(109,N97)&gt;0,SUBTOTAL(109,N97),
IF(SUBTOTAL(109,N96)&gt;0,SUBTOTAL(109,N96),
IF(SUBTOTAL(109,N95)&gt;0,SUBTOTAL(109,N95),
IF(SUBTOTAL(109,N94)&gt;0,SUBTOTAL(109,N95),
IF(SUBTOTAL(109,N93)&gt;0,SUBTOTAL(109,N93),
IF(SUBTOTAL(109,N92)&gt;0,SUBTOTAL(109,N92),
IF(SUBTOTAL(109,N91)&gt;0,SUBTOTAL(109,N91),
IF(SUBTOTAL(109,N90)&gt;0,SUBTOTAL(109,N90),
IF(SUBTOTAL(109,N89)&gt;0,SUBTOTAL(109,N89),
IF(SUBTOTAL(109,N88)&gt;0,SUBTOTAL(109,N88),
IF(SUBTOTAL(109,N87)&gt;0,SUBTOTAL(109,N87),
IF(SUBTOTAL(109,N86)&gt;0,SUBTOTAL(109,N86),
))))))))))))))))))),1,0)</f>
        <v>0</v>
      </c>
      <c r="G105" s="983" t="e">
        <f ca="1">_xlfn.AGGREGATE(9,5,$D$69:D105)</f>
        <v>#NAME?</v>
      </c>
      <c r="H105" s="983" t="e">
        <f ca="1">_xlfn.AGGREGATE(9,5,$E$69:E105)</f>
        <v>#NAME?</v>
      </c>
      <c r="I105" s="983" t="e">
        <f ca="1">_xlfn.AGGREGATE(9,5,$F$69:F105)</f>
        <v>#NAME?</v>
      </c>
      <c r="J105" s="964" t="str">
        <f>IF(SUM(Расходы_2[[#This Row],[2 025]:[2 027]])=0,"000",".")</f>
        <v>000</v>
      </c>
      <c r="K105" s="965">
        <v>2</v>
      </c>
      <c r="L105" s="908">
        <v>323</v>
      </c>
      <c r="M105" s="966"/>
      <c r="N105" s="908">
        <v>263</v>
      </c>
      <c r="O105" s="961"/>
      <c r="P105" s="961"/>
      <c r="Q105" s="961"/>
      <c r="R105" s="1239" t="s">
        <v>933</v>
      </c>
      <c r="S105" s="1128"/>
      <c r="Y105" s="959"/>
      <c r="Z105" s="959"/>
      <c r="AA105" s="959"/>
      <c r="AB105" s="963"/>
      <c r="AE105" s="51">
        <f>COUNT(102,$AF$69:AF105)-1</f>
        <v>37</v>
      </c>
      <c r="AF105" s="50">
        <v>1</v>
      </c>
    </row>
    <row r="106" spans="1:32" ht="20.25" customHeight="1">
      <c r="A106" s="983">
        <f>IF(Расходы_2[[#This Row],[КВР]]&gt;=
IF(SUBTOTAL(109,L105)&gt;0,SUBTOTAL(109,L105),
IF(SUBTOTAL(109,L104)&gt;0,SUBTOTAL(109,L104),
IF(SUBTOTAL(109,L103)&gt;0,SUBTOTAL(109,L103),
IF(SUBTOTAL(109,L102)&gt;0,SUBTOTAL(109,L102),
IF(SUBTOTAL(109,L101)&gt;0,SUBTOTAL(109,L101),
IF(SUBTOTAL(109,L100)&gt;0,SUBTOTAL(109,L100),
IF(SUBTOTAL(109,L99)&gt;0,SUBTOTAL(109,L99),
IF(SUBTOTAL(109,L98)&gt;0,SUBTOTAL(109,L98),
IF(SUBTOTAL(109,L97)&gt;0,SUBTOTAL(109,L97),
IF(SUBTOTAL(109,L96)&gt;0,SUBTOTAL(109,L96),
IF(SUBTOTAL(109,L95)&gt;0,SUBTOTAL(109,L96),
IF(SUBTOTAL(109,L94)&gt;0,SUBTOTAL(109,L94),
IF(SUBTOTAL(109,L93)&gt;0,SUBTOTAL(109,L93),
IF(SUBTOTAL(109,L92)&gt;0,SUBTOTAL(109,L92),
IF(SUBTOTAL(109,L91)&gt;0,SUBTOTAL(109,L91),
IF(SUBTOTAL(109,L90)&gt;0,SUBTOTAL(109,L90),
IF(SUBTOTAL(109,L89)&gt;0,SUBTOTAL(109,L89),
IF(SUBTOTAL(109,L88)&gt;0,SUBTOTAL(109,L88),
IF(SUBTOTAL(109,L87)&gt;0,SUBTOTAL(109,L87),
))))))))))))))))))),1,0)</f>
        <v>1</v>
      </c>
      <c r="B106" s="983"/>
      <c r="C106" s="983">
        <f>IF(Расходы_2[[#This Row],[КОСГУ]]&gt;=
IF(SUBTOTAL(109,N105)&gt;0,SUBTOTAL(109,N105),
IF(SUBTOTAL(109,N104)&gt;0,SUBTOTAL(109,N104),
IF(SUBTOTAL(109,N103)&gt;0,SUBTOTAL(109,N103),
IF(SUBTOTAL(109,N102)&gt;0,SUBTOTAL(109,N102),
IF(SUBTOTAL(109,N101)&gt;0,SUBTOTAL(109,N101),
IF(SUBTOTAL(109,N100)&gt;0,SUBTOTAL(109,N100),
IF(SUBTOTAL(109,N99)&gt;0,SUBTOTAL(109,N99),
IF(SUBTOTAL(109,N98)&gt;0,SUBTOTAL(109,N98),
IF(SUBTOTAL(109,N97)&gt;0,SUBTOTAL(109,N97),
IF(SUBTOTAL(109,N96)&gt;0,SUBTOTAL(109,N96),
IF(SUBTOTAL(109,N95)&gt;0,SUBTOTAL(109,N96),
IF(SUBTOTAL(109,N94)&gt;0,SUBTOTAL(109,N94),
IF(SUBTOTAL(109,N93)&gt;0,SUBTOTAL(109,N93),
IF(SUBTOTAL(109,N92)&gt;0,SUBTOTAL(109,N92),
IF(SUBTOTAL(109,N91)&gt;0,SUBTOTAL(109,N91),
IF(SUBTOTAL(109,N90)&gt;0,SUBTOTAL(109,N90),
IF(SUBTOTAL(109,N89)&gt;0,SUBTOTAL(109,N89),
IF(SUBTOTAL(109,N88)&gt;0,SUBTOTAL(109,N88),
IF(SUBTOTAL(109,N87)&gt;0,SUBTOTAL(109,N87),
))))))))))))))))))),1,0)</f>
        <v>1</v>
      </c>
      <c r="D106" s="983">
        <f>IF(Расходы_2[[#This Row],[КВР]]&gt;
IF(SUBTOTAL(109,L105)&gt;0,SUBTOTAL(109,L105),
IF(SUBTOTAL(109,L104)&gt;0,SUBTOTAL(109,L104),
IF(SUBTOTAL(109,L103)&gt;0,SUBTOTAL(109,L103),
IF(SUBTOTAL(109,L102)&gt;0,SUBTOTAL(109,L102),
IF(SUBTOTAL(109,L101)&gt;0,SUBTOTAL(109,L101),
IF(SUBTOTAL(109,L100)&gt;0,SUBTOTAL(109,L100),
IF(SUBTOTAL(109,L99)&gt;0,SUBTOTAL(109,L99),
IF(SUBTOTAL(109,L98)&gt;0,SUBTOTAL(109,L98),
IF(SUBTOTAL(109,L97)&gt;0,SUBTOTAL(109,L97),
IF(SUBTOTAL(109,L96)&gt;0,SUBTOTAL(109,L96),
IF(SUBTOTAL(109,L95)&gt;0,SUBTOTAL(109,L96),
IF(SUBTOTAL(109,L94)&gt;0,SUBTOTAL(109,L94),
IF(SUBTOTAL(109,L93)&gt;0,SUBTOTAL(109,L93),
IF(SUBTOTAL(109,L92)&gt;0,SUBTOTAL(109,L92),
IF(SUBTOTAL(109,L91)&gt;0,SUBTOTAL(109,L91),
IF(SUBTOTAL(109,L90)&gt;0,SUBTOTAL(109,L90),
IF(SUBTOTAL(109,L89)&gt;0,SUBTOTAL(109,L89),
IF(SUBTOTAL(109,L88)&gt;0,SUBTOTAL(109,L88),
IF(SUBTOTAL(109,L87)&gt;0,SUBTOTAL(109,L87),
))))))))))))))))))),1,0)</f>
        <v>1</v>
      </c>
      <c r="E106" s="983">
        <f>IF(AND(Расходы_2[[#This Row],[КЦ]]="14561Э",M105="14561Т"),1,
IF(Расходы_2[[#This Row],[КЦ]]&gt;
IF(SUBTOTAL(109,M105)&gt;0,SUBTOTAL(109,M105),
IF(SUBTOTAL(109,M104)&gt;0,SUBTOTAL(109,M104),
IF(SUBTOTAL(109,M103)&gt;0,SUBTOTAL(109,M103),
IF(SUBTOTAL(109,M102)&gt;0,SUBTOTAL(109,M102),
IF(SUBTOTAL(109,M101)&gt;0,SUBTOTAL(109,M101),
IF(SUBTOTAL(109,M100)&gt;0,SUBTOTAL(109,M100))))))),1,0))</f>
        <v>0</v>
      </c>
      <c r="F106" s="983">
        <f>IF(Расходы_2[[#This Row],[КОСГУ]]&gt;
IF(SUBTOTAL(109,N105)&gt;0,SUBTOTAL(109,N105),
IF(SUBTOTAL(109,N104)&gt;0,SUBTOTAL(109,N104),
IF(SUBTOTAL(109,N103)&gt;0,SUBTOTAL(109,N103),
IF(SUBTOTAL(109,N102)&gt;0,SUBTOTAL(109,N102),
IF(SUBTOTAL(109,N101)&gt;0,SUBTOTAL(109,N101),
IF(SUBTOTAL(109,N100)&gt;0,SUBTOTAL(109,N100),
IF(SUBTOTAL(109,N99)&gt;0,SUBTOTAL(109,N99),
IF(SUBTOTAL(109,N98)&gt;0,SUBTOTAL(109,N98),
IF(SUBTOTAL(109,N97)&gt;0,SUBTOTAL(109,N97),
IF(SUBTOTAL(109,N96)&gt;0,SUBTOTAL(109,N96),
IF(SUBTOTAL(109,N95)&gt;0,SUBTOTAL(109,N96),
IF(SUBTOTAL(109,N94)&gt;0,SUBTOTAL(109,N94),
IF(SUBTOTAL(109,N93)&gt;0,SUBTOTAL(109,N93),
IF(SUBTOTAL(109,N92)&gt;0,SUBTOTAL(109,N92),
IF(SUBTOTAL(109,N91)&gt;0,SUBTOTAL(109,N91),
IF(SUBTOTAL(109,N90)&gt;0,SUBTOTAL(109,N90),
IF(SUBTOTAL(109,N89)&gt;0,SUBTOTAL(109,N89),
IF(SUBTOTAL(109,N88)&gt;0,SUBTOTAL(109,N88),
IF(SUBTOTAL(109,N87)&gt;0,SUBTOTAL(109,N87),
))))))))))))))))))),1,0)</f>
        <v>1</v>
      </c>
      <c r="G106" s="983" t="e">
        <f ca="1">_xlfn.AGGREGATE(9,5,$D$69:D106)</f>
        <v>#NAME?</v>
      </c>
      <c r="H106" s="983" t="e">
        <f ca="1">_xlfn.AGGREGATE(9,5,$E$69:E106)</f>
        <v>#NAME?</v>
      </c>
      <c r="I106" s="983" t="e">
        <f ca="1">_xlfn.AGGREGATE(9,5,$F$69:F106)</f>
        <v>#NAME?</v>
      </c>
      <c r="J106" s="964" t="str">
        <f>IF(SUM(Расходы_2[[#This Row],[2 025]:[2 027]])=0,"000",".")</f>
        <v>000</v>
      </c>
      <c r="K106" s="965">
        <v>2</v>
      </c>
      <c r="L106" s="908">
        <v>831</v>
      </c>
      <c r="M106" s="966"/>
      <c r="N106" s="908">
        <v>293</v>
      </c>
      <c r="O106" s="961"/>
      <c r="P106" s="961"/>
      <c r="Q106" s="961"/>
      <c r="R106" s="1239" t="s">
        <v>930</v>
      </c>
      <c r="S106" s="1128"/>
      <c r="Y106" s="959"/>
      <c r="Z106" s="959"/>
      <c r="AA106" s="959"/>
      <c r="AB106" s="963"/>
      <c r="AE106" s="51">
        <f>COUNT(102,$AF$69:AF106)-1</f>
        <v>38</v>
      </c>
      <c r="AF106" s="50">
        <v>1</v>
      </c>
    </row>
    <row r="107" spans="1:32" ht="20.25" customHeight="1">
      <c r="A107" s="983">
        <f>IF(Расходы_2[[#This Row],[КВР]]&gt;=
IF(SUBTOTAL(109,L106)&gt;0,SUBTOTAL(109,L106),
IF(SUBTOTAL(109,L105)&gt;0,SUBTOTAL(109,L105),
IF(SUBTOTAL(109,L104)&gt;0,SUBTOTAL(109,L104),
IF(SUBTOTAL(109,L103)&gt;0,SUBTOTAL(109,L103),
IF(SUBTOTAL(109,L102)&gt;0,SUBTOTAL(109,L102),
IF(SUBTOTAL(109,L101)&gt;0,SUBTOTAL(109,L101),
IF(SUBTOTAL(109,L100)&gt;0,SUBTOTAL(109,L100),
IF(SUBTOTAL(109,L99)&gt;0,SUBTOTAL(109,L99),
IF(SUBTOTAL(109,L98)&gt;0,SUBTOTAL(109,L98),
IF(SUBTOTAL(109,L97)&gt;0,SUBTOTAL(109,L97),
IF(SUBTOTAL(109,L96)&gt;0,SUBTOTAL(109,L97),
IF(SUBTOTAL(109,L95)&gt;0,SUBTOTAL(109,L95),
IF(SUBTOTAL(109,L94)&gt;0,SUBTOTAL(109,L94),
IF(SUBTOTAL(109,L93)&gt;0,SUBTOTAL(109,L93),
IF(SUBTOTAL(109,L92)&gt;0,SUBTOTAL(109,L92),
IF(SUBTOTAL(109,L91)&gt;0,SUBTOTAL(109,L91),
IF(SUBTOTAL(109,L90)&gt;0,SUBTOTAL(109,L90),
IF(SUBTOTAL(109,L89)&gt;0,SUBTOTAL(109,L89),
IF(SUBTOTAL(109,L88)&gt;0,SUBTOTAL(109,L88),
))))))))))))))))))),1,0)</f>
        <v>1</v>
      </c>
      <c r="B107" s="983"/>
      <c r="C107" s="983">
        <f>IF(Расходы_2[[#This Row],[КОСГУ]]&gt;=
IF(SUBTOTAL(109,N106)&gt;0,SUBTOTAL(109,N106),
IF(SUBTOTAL(109,N105)&gt;0,SUBTOTAL(109,N105),
IF(SUBTOTAL(109,N104)&gt;0,SUBTOTAL(109,N104),
IF(SUBTOTAL(109,N103)&gt;0,SUBTOTAL(109,N103),
IF(SUBTOTAL(109,N102)&gt;0,SUBTOTAL(109,N102),
IF(SUBTOTAL(109,N101)&gt;0,SUBTOTAL(109,N101),
IF(SUBTOTAL(109,N100)&gt;0,SUBTOTAL(109,N100),
IF(SUBTOTAL(109,N99)&gt;0,SUBTOTAL(109,N99),
IF(SUBTOTAL(109,N98)&gt;0,SUBTOTAL(109,N98),
IF(SUBTOTAL(109,N97)&gt;0,SUBTOTAL(109,N97),
IF(SUBTOTAL(109,N96)&gt;0,SUBTOTAL(109,N97),
IF(SUBTOTAL(109,N95)&gt;0,SUBTOTAL(109,N95),
IF(SUBTOTAL(109,N94)&gt;0,SUBTOTAL(109,N94),
IF(SUBTOTAL(109,N93)&gt;0,SUBTOTAL(109,N93),
IF(SUBTOTAL(109,N92)&gt;0,SUBTOTAL(109,N92),
IF(SUBTOTAL(109,N91)&gt;0,SUBTOTAL(109,N91),
IF(SUBTOTAL(109,N90)&gt;0,SUBTOTAL(109,N90),
IF(SUBTOTAL(109,N89)&gt;0,SUBTOTAL(109,N89),
IF(SUBTOTAL(109,N88)&gt;0,SUBTOTAL(109,N88),
))))))))))))))))))),1,0)</f>
        <v>1</v>
      </c>
      <c r="D107" s="983">
        <f>IF(Расходы_2[[#This Row],[КВР]]&gt;
IF(SUBTOTAL(109,L106)&gt;0,SUBTOTAL(109,L106),
IF(SUBTOTAL(109,L105)&gt;0,SUBTOTAL(109,L105),
IF(SUBTOTAL(109,L104)&gt;0,SUBTOTAL(109,L104),
IF(SUBTOTAL(109,L103)&gt;0,SUBTOTAL(109,L103),
IF(SUBTOTAL(109,L102)&gt;0,SUBTOTAL(109,L102),
IF(SUBTOTAL(109,L101)&gt;0,SUBTOTAL(109,L101),
IF(SUBTOTAL(109,L100)&gt;0,SUBTOTAL(109,L100),
IF(SUBTOTAL(109,L99)&gt;0,SUBTOTAL(109,L99),
IF(SUBTOTAL(109,L98)&gt;0,SUBTOTAL(109,L98),
IF(SUBTOTAL(109,L97)&gt;0,SUBTOTAL(109,L97),
IF(SUBTOTAL(109,L96)&gt;0,SUBTOTAL(109,L97),
IF(SUBTOTAL(109,L95)&gt;0,SUBTOTAL(109,L95),
IF(SUBTOTAL(109,L94)&gt;0,SUBTOTAL(109,L94),
IF(SUBTOTAL(109,L93)&gt;0,SUBTOTAL(109,L93),
IF(SUBTOTAL(109,L92)&gt;0,SUBTOTAL(109,L92),
IF(SUBTOTAL(109,L91)&gt;0,SUBTOTAL(109,L91),
IF(SUBTOTAL(109,L90)&gt;0,SUBTOTAL(109,L90),
IF(SUBTOTAL(109,L89)&gt;0,SUBTOTAL(109,L89),
IF(SUBTOTAL(109,L88)&gt;0,SUBTOTAL(109,L88),
))))))))))))))))))),1,0)</f>
        <v>0</v>
      </c>
      <c r="E107" s="983">
        <f>IF(AND(Расходы_2[[#This Row],[КЦ]]="14561Э",M106="14561Т"),1,
IF(Расходы_2[[#This Row],[КЦ]]&gt;
IF(SUBTOTAL(109,M106)&gt;0,SUBTOTAL(109,M106),
IF(SUBTOTAL(109,M105)&gt;0,SUBTOTAL(109,M105),
IF(SUBTOTAL(109,M104)&gt;0,SUBTOTAL(109,M104),
IF(SUBTOTAL(109,M103)&gt;0,SUBTOTAL(109,M103),
IF(SUBTOTAL(109,M102)&gt;0,SUBTOTAL(109,M102),
IF(SUBTOTAL(109,M101)&gt;0,SUBTOTAL(109,M101))))))),1,0))</f>
        <v>0</v>
      </c>
      <c r="F107" s="983">
        <f>IF(Расходы_2[[#This Row],[КОСГУ]]&gt;
IF(SUBTOTAL(109,N106)&gt;0,SUBTOTAL(109,N106),
IF(SUBTOTAL(109,N105)&gt;0,SUBTOTAL(109,N105),
IF(SUBTOTAL(109,N104)&gt;0,SUBTOTAL(109,N104),
IF(SUBTOTAL(109,N103)&gt;0,SUBTOTAL(109,N103),
IF(SUBTOTAL(109,N102)&gt;0,SUBTOTAL(109,N102),
IF(SUBTOTAL(109,N101)&gt;0,SUBTOTAL(109,N101),
IF(SUBTOTAL(109,N100)&gt;0,SUBTOTAL(109,N100),
IF(SUBTOTAL(109,N99)&gt;0,SUBTOTAL(109,N99),
IF(SUBTOTAL(109,N98)&gt;0,SUBTOTAL(109,N98),
IF(SUBTOTAL(109,N97)&gt;0,SUBTOTAL(109,N97),
IF(SUBTOTAL(109,N96)&gt;0,SUBTOTAL(109,N97),
IF(SUBTOTAL(109,N95)&gt;0,SUBTOTAL(109,N95),
IF(SUBTOTAL(109,N94)&gt;0,SUBTOTAL(109,N94),
IF(SUBTOTAL(109,N93)&gt;0,SUBTOTAL(109,N93),
IF(SUBTOTAL(109,N92)&gt;0,SUBTOTAL(109,N92),
IF(SUBTOTAL(109,N91)&gt;0,SUBTOTAL(109,N91),
IF(SUBTOTAL(109,N90)&gt;0,SUBTOTAL(109,N90),
IF(SUBTOTAL(109,N89)&gt;0,SUBTOTAL(109,N89),
IF(SUBTOTAL(109,N88)&gt;0,SUBTOTAL(109,N88),
))))))))))))))))))),1,0)</f>
        <v>1</v>
      </c>
      <c r="G107" s="983" t="e">
        <f ca="1">_xlfn.AGGREGATE(9,5,$D$69:D107)</f>
        <v>#NAME?</v>
      </c>
      <c r="H107" s="983" t="e">
        <f ca="1">_xlfn.AGGREGATE(9,5,$E$69:E107)</f>
        <v>#NAME?</v>
      </c>
      <c r="I107" s="983" t="e">
        <f ca="1">_xlfn.AGGREGATE(9,5,$F$69:F107)</f>
        <v>#NAME?</v>
      </c>
      <c r="J107" s="964" t="str">
        <f>IF(SUM(Расходы_2[[#This Row],[2 025]:[2 027]])=0,"000",".")</f>
        <v>000</v>
      </c>
      <c r="K107" s="965">
        <v>2</v>
      </c>
      <c r="L107" s="908">
        <v>831</v>
      </c>
      <c r="M107" s="966"/>
      <c r="N107" s="908">
        <v>295</v>
      </c>
      <c r="O107" s="967"/>
      <c r="P107" s="967"/>
      <c r="Q107" s="967"/>
      <c r="R107" s="1239" t="s">
        <v>931</v>
      </c>
      <c r="S107" s="1128"/>
      <c r="Y107" s="959"/>
      <c r="Z107" s="959"/>
      <c r="AA107" s="959"/>
      <c r="AB107" s="963"/>
      <c r="AE107" s="51">
        <f>COUNT(102,$AF$69:AF107)-1</f>
        <v>39</v>
      </c>
      <c r="AF107" s="50">
        <v>1</v>
      </c>
    </row>
    <row r="108" spans="1:32" ht="20.25" customHeight="1">
      <c r="A108" s="983">
        <f>IF(Расходы_2[[#This Row],[КВР]]&gt;=
IF(SUBTOTAL(109,L107)&gt;0,SUBTOTAL(109,L107),
IF(SUBTOTAL(109,L106)&gt;0,SUBTOTAL(109,L106),
IF(SUBTOTAL(109,L105)&gt;0,SUBTOTAL(109,L105),
IF(SUBTOTAL(109,L104)&gt;0,SUBTOTAL(109,L104),
IF(SUBTOTAL(109,L103)&gt;0,SUBTOTAL(109,L103),
IF(SUBTOTAL(109,L102)&gt;0,SUBTOTAL(109,L102),
IF(SUBTOTAL(109,L101)&gt;0,SUBTOTAL(109,L101),
IF(SUBTOTAL(109,L100)&gt;0,SUBTOTAL(109,L100),
IF(SUBTOTAL(109,L99)&gt;0,SUBTOTAL(109,L99),
IF(SUBTOTAL(109,L98)&gt;0,SUBTOTAL(109,L98),
IF(SUBTOTAL(109,L97)&gt;0,SUBTOTAL(109,L98),
IF(SUBTOTAL(109,L96)&gt;0,SUBTOTAL(109,L96),
IF(SUBTOTAL(109,L95)&gt;0,SUBTOTAL(109,L95),
IF(SUBTOTAL(109,L94)&gt;0,SUBTOTAL(109,L94),
IF(SUBTOTAL(109,L93)&gt;0,SUBTOTAL(109,L93),
IF(SUBTOTAL(109,L92)&gt;0,SUBTOTAL(109,L92),
IF(SUBTOTAL(109,L91)&gt;0,SUBTOTAL(109,L91),
IF(SUBTOTAL(109,L90)&gt;0,SUBTOTAL(109,L90),
IF(SUBTOTAL(109,L89)&gt;0,SUBTOTAL(109,L89),
))))))))))))))))))),1,0)</f>
        <v>1</v>
      </c>
      <c r="B108" s="983"/>
      <c r="C108" s="983">
        <f>IF(Расходы_2[[#This Row],[КОСГУ]]&gt;=
IF(SUBTOTAL(109,N107)&gt;0,SUBTOTAL(109,N107),
IF(SUBTOTAL(109,N106)&gt;0,SUBTOTAL(109,N106),
IF(SUBTOTAL(109,N105)&gt;0,SUBTOTAL(109,N105),
IF(SUBTOTAL(109,N104)&gt;0,SUBTOTAL(109,N104),
IF(SUBTOTAL(109,N103)&gt;0,SUBTOTAL(109,N103),
IF(SUBTOTAL(109,N102)&gt;0,SUBTOTAL(109,N102),
IF(SUBTOTAL(109,N101)&gt;0,SUBTOTAL(109,N101),
IF(SUBTOTAL(109,N100)&gt;0,SUBTOTAL(109,N100),
IF(SUBTOTAL(109,N99)&gt;0,SUBTOTAL(109,N99),
IF(SUBTOTAL(109,N98)&gt;0,SUBTOTAL(109,N98),
IF(SUBTOTAL(109,N97)&gt;0,SUBTOTAL(109,N98),
IF(SUBTOTAL(109,N96)&gt;0,SUBTOTAL(109,N96),
IF(SUBTOTAL(109,N95)&gt;0,SUBTOTAL(109,N95),
IF(SUBTOTAL(109,N94)&gt;0,SUBTOTAL(109,N94),
IF(SUBTOTAL(109,N93)&gt;0,SUBTOTAL(109,N93),
IF(SUBTOTAL(109,N92)&gt;0,SUBTOTAL(109,N92),
IF(SUBTOTAL(109,N91)&gt;0,SUBTOTAL(109,N91),
IF(SUBTOTAL(109,N90)&gt;0,SUBTOTAL(109,N90),
IF(SUBTOTAL(109,N89)&gt;0,SUBTOTAL(109,N89),
))))))))))))))))))),1,0)</f>
        <v>1</v>
      </c>
      <c r="D108" s="983">
        <f>IF(Расходы_2[[#This Row],[КВР]]&gt;
IF(SUBTOTAL(109,L107)&gt;0,SUBTOTAL(109,L107),
IF(SUBTOTAL(109,L106)&gt;0,SUBTOTAL(109,L106),
IF(SUBTOTAL(109,L105)&gt;0,SUBTOTAL(109,L105),
IF(SUBTOTAL(109,L104)&gt;0,SUBTOTAL(109,L104),
IF(SUBTOTAL(109,L103)&gt;0,SUBTOTAL(109,L103),
IF(SUBTOTAL(109,L102)&gt;0,SUBTOTAL(109,L102),
IF(SUBTOTAL(109,L101)&gt;0,SUBTOTAL(109,L101),
IF(SUBTOTAL(109,L100)&gt;0,SUBTOTAL(109,L100),
IF(SUBTOTAL(109,L99)&gt;0,SUBTOTAL(109,L99),
IF(SUBTOTAL(109,L98)&gt;0,SUBTOTAL(109,L98),
IF(SUBTOTAL(109,L97)&gt;0,SUBTOTAL(109,L98),
IF(SUBTOTAL(109,L96)&gt;0,SUBTOTAL(109,L96),
IF(SUBTOTAL(109,L95)&gt;0,SUBTOTAL(109,L95),
IF(SUBTOTAL(109,L94)&gt;0,SUBTOTAL(109,L94),
IF(SUBTOTAL(109,L93)&gt;0,SUBTOTAL(109,L93),
IF(SUBTOTAL(109,L92)&gt;0,SUBTOTAL(109,L92),
IF(SUBTOTAL(109,L91)&gt;0,SUBTOTAL(109,L91),
IF(SUBTOTAL(109,L90)&gt;0,SUBTOTAL(109,L90),
IF(SUBTOTAL(109,L89)&gt;0,SUBTOTAL(109,L89),
))))))))))))))))))),1,0)</f>
        <v>0</v>
      </c>
      <c r="E108" s="983">
        <f>IF(AND(Расходы_2[[#This Row],[КЦ]]="14561Э",M107="14561Т"),1,
IF(Расходы_2[[#This Row],[КЦ]]&gt;
IF(SUBTOTAL(109,M107)&gt;0,SUBTOTAL(109,M107),
IF(SUBTOTAL(109,M106)&gt;0,SUBTOTAL(109,M106),
IF(SUBTOTAL(109,M105)&gt;0,SUBTOTAL(109,M105),
IF(SUBTOTAL(109,M104)&gt;0,SUBTOTAL(109,M104),
IF(SUBTOTAL(109,M103)&gt;0,SUBTOTAL(109,M103),
IF(SUBTOTAL(109,M102)&gt;0,SUBTOTAL(109,M102))))))),1,0))</f>
        <v>0</v>
      </c>
      <c r="F108" s="983">
        <f>IF(Расходы_2[[#This Row],[КОСГУ]]&gt;
IF(SUBTOTAL(109,N107)&gt;0,SUBTOTAL(109,N107),
IF(SUBTOTAL(109,N106)&gt;0,SUBTOTAL(109,N106),
IF(SUBTOTAL(109,N105)&gt;0,SUBTOTAL(109,N105),
IF(SUBTOTAL(109,N104)&gt;0,SUBTOTAL(109,N104),
IF(SUBTOTAL(109,N103)&gt;0,SUBTOTAL(109,N103),
IF(SUBTOTAL(109,N102)&gt;0,SUBTOTAL(109,N102),
IF(SUBTOTAL(109,N101)&gt;0,SUBTOTAL(109,N101),
IF(SUBTOTAL(109,N100)&gt;0,SUBTOTAL(109,N100),
IF(SUBTOTAL(109,N99)&gt;0,SUBTOTAL(109,N99),
IF(SUBTOTAL(109,N98)&gt;0,SUBTOTAL(109,N98),
IF(SUBTOTAL(109,N97)&gt;0,SUBTOTAL(109,N98),
IF(SUBTOTAL(109,N96)&gt;0,SUBTOTAL(109,N96),
IF(SUBTOTAL(109,N95)&gt;0,SUBTOTAL(109,N95),
IF(SUBTOTAL(109,N94)&gt;0,SUBTOTAL(109,N94),
IF(SUBTOTAL(109,N93)&gt;0,SUBTOTAL(109,N93),
IF(SUBTOTAL(109,N92)&gt;0,SUBTOTAL(109,N92),
IF(SUBTOTAL(109,N91)&gt;0,SUBTOTAL(109,N91),
IF(SUBTOTAL(109,N90)&gt;0,SUBTOTAL(109,N90),
IF(SUBTOTAL(109,N89)&gt;0,SUBTOTAL(109,N89),
))))))))))))))))))),1,0)</f>
        <v>1</v>
      </c>
      <c r="G108" s="983" t="e">
        <f ca="1">_xlfn.AGGREGATE(9,5,$D$69:D108)</f>
        <v>#NAME?</v>
      </c>
      <c r="H108" s="983" t="e">
        <f ca="1">_xlfn.AGGREGATE(9,5,$E$69:E108)</f>
        <v>#NAME?</v>
      </c>
      <c r="I108" s="983" t="e">
        <f ca="1">_xlfn.AGGREGATE(9,5,$F$69:F108)</f>
        <v>#NAME?</v>
      </c>
      <c r="J108" s="964" t="str">
        <f>IF(SUM(Расходы_2[[#This Row],[2 025]:[2 027]])=0,"000",".")</f>
        <v>000</v>
      </c>
      <c r="K108" s="965">
        <v>2</v>
      </c>
      <c r="L108" s="908">
        <v>831</v>
      </c>
      <c r="M108" s="966"/>
      <c r="N108" s="908">
        <v>296</v>
      </c>
      <c r="O108" s="967"/>
      <c r="P108" s="967"/>
      <c r="Q108" s="967"/>
      <c r="R108" s="1239" t="s">
        <v>386</v>
      </c>
      <c r="S108" s="1128"/>
      <c r="Y108" s="959"/>
      <c r="Z108" s="959"/>
      <c r="AA108" s="959"/>
      <c r="AB108" s="963"/>
      <c r="AE108" s="51">
        <f>COUNT(102,$AF$69:AF108)-1</f>
        <v>40</v>
      </c>
      <c r="AF108" s="50">
        <v>1</v>
      </c>
    </row>
    <row r="109" spans="1:32" ht="20.25" customHeight="1">
      <c r="A109" s="983">
        <f>IF(Расходы_2[[#This Row],[КВР]]&gt;=
IF(SUBTOTAL(109,L108)&gt;0,SUBTOTAL(109,L108),
IF(SUBTOTAL(109,L107)&gt;0,SUBTOTAL(109,L107),
IF(SUBTOTAL(109,L106)&gt;0,SUBTOTAL(109,L106),
IF(SUBTOTAL(109,L105)&gt;0,SUBTOTAL(109,L105),
IF(SUBTOTAL(109,L104)&gt;0,SUBTOTAL(109,L104),
IF(SUBTOTAL(109,L103)&gt;0,SUBTOTAL(109,L103),
IF(SUBTOTAL(109,L102)&gt;0,SUBTOTAL(109,L102),
IF(SUBTOTAL(109,L101)&gt;0,SUBTOTAL(109,L101),
IF(SUBTOTAL(109,L100)&gt;0,SUBTOTAL(109,L100),
IF(SUBTOTAL(109,L99)&gt;0,SUBTOTAL(109,L99),
IF(SUBTOTAL(109,L98)&gt;0,SUBTOTAL(109,L99),
IF(SUBTOTAL(109,L97)&gt;0,SUBTOTAL(109,L97),
IF(SUBTOTAL(109,L96)&gt;0,SUBTOTAL(109,L96),
IF(SUBTOTAL(109,L95)&gt;0,SUBTOTAL(109,L95),
IF(SUBTOTAL(109,L94)&gt;0,SUBTOTAL(109,L94),
IF(SUBTOTAL(109,L93)&gt;0,SUBTOTAL(109,L93),
IF(SUBTOTAL(109,L92)&gt;0,SUBTOTAL(109,L92),
IF(SUBTOTAL(109,L91)&gt;0,SUBTOTAL(109,L91),
IF(SUBTOTAL(109,L90)&gt;0,SUBTOTAL(109,L90),
))))))))))))))))))),1,0)</f>
        <v>1</v>
      </c>
      <c r="B109" s="983"/>
      <c r="C109" s="983">
        <f>IF(Расходы_2[[#This Row],[КОСГУ]]&gt;=
IF(SUBTOTAL(109,N108)&gt;0,SUBTOTAL(109,N108),
IF(SUBTOTAL(109,N107)&gt;0,SUBTOTAL(109,N107),
IF(SUBTOTAL(109,N106)&gt;0,SUBTOTAL(109,N106),
IF(SUBTOTAL(109,N105)&gt;0,SUBTOTAL(109,N105),
IF(SUBTOTAL(109,N104)&gt;0,SUBTOTAL(109,N104),
IF(SUBTOTAL(109,N103)&gt;0,SUBTOTAL(109,N103),
IF(SUBTOTAL(109,N102)&gt;0,SUBTOTAL(109,N102),
IF(SUBTOTAL(109,N101)&gt;0,SUBTOTAL(109,N101),
IF(SUBTOTAL(109,N100)&gt;0,SUBTOTAL(109,N100),
IF(SUBTOTAL(109,N99)&gt;0,SUBTOTAL(109,N99),
IF(SUBTOTAL(109,N98)&gt;0,SUBTOTAL(109,N99),
IF(SUBTOTAL(109,N97)&gt;0,SUBTOTAL(109,N97),
IF(SUBTOTAL(109,N96)&gt;0,SUBTOTAL(109,N96),
IF(SUBTOTAL(109,N95)&gt;0,SUBTOTAL(109,N95),
IF(SUBTOTAL(109,N94)&gt;0,SUBTOTAL(109,N94),
IF(SUBTOTAL(109,N93)&gt;0,SUBTOTAL(109,N93),
IF(SUBTOTAL(109,N92)&gt;0,SUBTOTAL(109,N92),
IF(SUBTOTAL(109,N91)&gt;0,SUBTOTAL(109,N91),
IF(SUBTOTAL(109,N90)&gt;0,SUBTOTAL(109,N90),
))))))))))))))))))),1,0)</f>
        <v>1</v>
      </c>
      <c r="D109" s="983">
        <f>IF(Расходы_2[[#This Row],[КВР]]&gt;
IF(SUBTOTAL(109,L108)&gt;0,SUBTOTAL(109,L108),
IF(SUBTOTAL(109,L107)&gt;0,SUBTOTAL(109,L107),
IF(SUBTOTAL(109,L106)&gt;0,SUBTOTAL(109,L106),
IF(SUBTOTAL(109,L105)&gt;0,SUBTOTAL(109,L105),
IF(SUBTOTAL(109,L104)&gt;0,SUBTOTAL(109,L104),
IF(SUBTOTAL(109,L103)&gt;0,SUBTOTAL(109,L103),
IF(SUBTOTAL(109,L102)&gt;0,SUBTOTAL(109,L102),
IF(SUBTOTAL(109,L101)&gt;0,SUBTOTAL(109,L101),
IF(SUBTOTAL(109,L100)&gt;0,SUBTOTAL(109,L100),
IF(SUBTOTAL(109,L99)&gt;0,SUBTOTAL(109,L99),
IF(SUBTOTAL(109,L98)&gt;0,SUBTOTAL(109,L99),
IF(SUBTOTAL(109,L97)&gt;0,SUBTOTAL(109,L97),
IF(SUBTOTAL(109,L96)&gt;0,SUBTOTAL(109,L96),
IF(SUBTOTAL(109,L95)&gt;0,SUBTOTAL(109,L95),
IF(SUBTOTAL(109,L94)&gt;0,SUBTOTAL(109,L94),
IF(SUBTOTAL(109,L93)&gt;0,SUBTOTAL(109,L93),
IF(SUBTOTAL(109,L92)&gt;0,SUBTOTAL(109,L92),
IF(SUBTOTAL(109,L91)&gt;0,SUBTOTAL(109,L91),
IF(SUBTOTAL(109,L90)&gt;0,SUBTOTAL(109,L90),
))))))))))))))))))),1,0)</f>
        <v>0</v>
      </c>
      <c r="E109" s="983">
        <f>IF(AND(Расходы_2[[#This Row],[КЦ]]="14561Э",M108="14561Т"),1,
IF(Расходы_2[[#This Row],[КЦ]]&gt;
IF(SUBTOTAL(109,M108)&gt;0,SUBTOTAL(109,M108),
IF(SUBTOTAL(109,M107)&gt;0,SUBTOTAL(109,M107),
IF(SUBTOTAL(109,M106)&gt;0,SUBTOTAL(109,M106),
IF(SUBTOTAL(109,M105)&gt;0,SUBTOTAL(109,M105),
IF(SUBTOTAL(109,M104)&gt;0,SUBTOTAL(109,M104),
IF(SUBTOTAL(109,M103)&gt;0,SUBTOTAL(109,M103))))))),1,0))</f>
        <v>0</v>
      </c>
      <c r="F109" s="983">
        <f>IF(Расходы_2[[#This Row],[КОСГУ]]&gt;
IF(SUBTOTAL(109,N108)&gt;0,SUBTOTAL(109,N108),
IF(SUBTOTAL(109,N107)&gt;0,SUBTOTAL(109,N107),
IF(SUBTOTAL(109,N106)&gt;0,SUBTOTAL(109,N106),
IF(SUBTOTAL(109,N105)&gt;0,SUBTOTAL(109,N105),
IF(SUBTOTAL(109,N104)&gt;0,SUBTOTAL(109,N104),
IF(SUBTOTAL(109,N103)&gt;0,SUBTOTAL(109,N103),
IF(SUBTOTAL(109,N102)&gt;0,SUBTOTAL(109,N102),
IF(SUBTOTAL(109,N101)&gt;0,SUBTOTAL(109,N101),
IF(SUBTOTAL(109,N100)&gt;0,SUBTOTAL(109,N100),
IF(SUBTOTAL(109,N99)&gt;0,SUBTOTAL(109,N99),
IF(SUBTOTAL(109,N98)&gt;0,SUBTOTAL(109,N99),
IF(SUBTOTAL(109,N97)&gt;0,SUBTOTAL(109,N97),
IF(SUBTOTAL(109,N96)&gt;0,SUBTOTAL(109,N96),
IF(SUBTOTAL(109,N95)&gt;0,SUBTOTAL(109,N95),
IF(SUBTOTAL(109,N94)&gt;0,SUBTOTAL(109,N94),
IF(SUBTOTAL(109,N93)&gt;0,SUBTOTAL(109,N93),
IF(SUBTOTAL(109,N92)&gt;0,SUBTOTAL(109,N92),
IF(SUBTOTAL(109,N91)&gt;0,SUBTOTAL(109,N91),
IF(SUBTOTAL(109,N90)&gt;0,SUBTOTAL(109,N90),
))))))))))))))))))),1,0)</f>
        <v>1</v>
      </c>
      <c r="G109" s="983" t="e">
        <f ca="1">_xlfn.AGGREGATE(9,5,$D$69:D109)</f>
        <v>#NAME?</v>
      </c>
      <c r="H109" s="983" t="e">
        <f ca="1">_xlfn.AGGREGATE(9,5,$E$69:E109)</f>
        <v>#NAME?</v>
      </c>
      <c r="I109" s="983" t="e">
        <f ca="1">_xlfn.AGGREGATE(9,5,$F$69:F109)</f>
        <v>#NAME?</v>
      </c>
      <c r="J109" s="964" t="str">
        <f>IF(SUM(Расходы_2[[#This Row],[2 025]:[2 027]])=0,"000",".")</f>
        <v>000</v>
      </c>
      <c r="K109" s="965">
        <v>2</v>
      </c>
      <c r="L109" s="908">
        <v>831</v>
      </c>
      <c r="M109" s="966"/>
      <c r="N109" s="908">
        <v>297</v>
      </c>
      <c r="O109" s="967"/>
      <c r="P109" s="967"/>
      <c r="Q109" s="967"/>
      <c r="R109" s="1239" t="s">
        <v>932</v>
      </c>
      <c r="S109" s="1128"/>
      <c r="Y109" s="959"/>
      <c r="Z109" s="959"/>
      <c r="AA109" s="959"/>
      <c r="AB109" s="963"/>
      <c r="AE109" s="51">
        <f>COUNT(102,$AF$69:AF109)-1</f>
        <v>41</v>
      </c>
      <c r="AF109" s="50">
        <v>1</v>
      </c>
    </row>
    <row r="110" spans="1:32" ht="20.25" customHeight="1">
      <c r="A110" s="1132">
        <f>IF(Расходы_2[[#This Row],[КВР]]&gt;=
IF(SUBTOTAL(109,L109)&gt;0,SUBTOTAL(109,L109),
IF(SUBTOTAL(109,L108)&gt;0,SUBTOTAL(109,L108),
IF(SUBTOTAL(109,L107)&gt;0,SUBTOTAL(109,L107),
IF(SUBTOTAL(109,L106)&gt;0,SUBTOTAL(109,L106),
IF(SUBTOTAL(109,L105)&gt;0,SUBTOTAL(109,L105),
IF(SUBTOTAL(109,L104)&gt;0,SUBTOTAL(109,L104),
IF(SUBTOTAL(109,L103)&gt;0,SUBTOTAL(109,L103),
IF(SUBTOTAL(109,L102)&gt;0,SUBTOTAL(109,L102),
IF(SUBTOTAL(109,L101)&gt;0,SUBTOTAL(109,L101),
IF(SUBTOTAL(109,L100)&gt;0,SUBTOTAL(109,L100),
IF(SUBTOTAL(109,L99)&gt;0,SUBTOTAL(109,L100),
IF(SUBTOTAL(109,L98)&gt;0,SUBTOTAL(109,L98),
IF(SUBTOTAL(109,L97)&gt;0,SUBTOTAL(109,L97),
IF(SUBTOTAL(109,L96)&gt;0,SUBTOTAL(109,L96),
IF(SUBTOTAL(109,L95)&gt;0,SUBTOTAL(109,L95),
IF(SUBTOTAL(109,L94)&gt;0,SUBTOTAL(109,L94),
IF(SUBTOTAL(109,L93)&gt;0,SUBTOTAL(109,L93),
IF(SUBTOTAL(109,L92)&gt;0,SUBTOTAL(109,L92),
IF(SUBTOTAL(109,L91)&gt;0,SUBTOTAL(109,L91),
))))))))))))))))))),1,0)</f>
        <v>1</v>
      </c>
      <c r="B110" s="1132"/>
      <c r="C110" s="1132">
        <f>IF(Расходы_2[[#This Row],[КОСГУ]]&gt;=
IF(SUBTOTAL(109,N109)&gt;0,SUBTOTAL(109,N109),
IF(SUBTOTAL(109,N108)&gt;0,SUBTOTAL(109,N108),
IF(SUBTOTAL(109,N107)&gt;0,SUBTOTAL(109,N107),
IF(SUBTOTAL(109,N106)&gt;0,SUBTOTAL(109,N106),
IF(SUBTOTAL(109,N105)&gt;0,SUBTOTAL(109,N105),
IF(SUBTOTAL(109,N104)&gt;0,SUBTOTAL(109,N104),
IF(SUBTOTAL(109,N103)&gt;0,SUBTOTAL(109,N103),
IF(SUBTOTAL(109,N102)&gt;0,SUBTOTAL(109,N102),
IF(SUBTOTAL(109,N101)&gt;0,SUBTOTAL(109,N101),
IF(SUBTOTAL(109,N100)&gt;0,SUBTOTAL(109,N100),
IF(SUBTOTAL(109,N99)&gt;0,SUBTOTAL(109,N100),
IF(SUBTOTAL(109,N98)&gt;0,SUBTOTAL(109,N98),
IF(SUBTOTAL(109,N97)&gt;0,SUBTOTAL(109,N97),
IF(SUBTOTAL(109,N96)&gt;0,SUBTOTAL(109,N96),
IF(SUBTOTAL(109,N95)&gt;0,SUBTOTAL(109,N95),
IF(SUBTOTAL(109,N94)&gt;0,SUBTOTAL(109,N94),
IF(SUBTOTAL(109,N93)&gt;0,SUBTOTAL(109,N93),
IF(SUBTOTAL(109,N92)&gt;0,SUBTOTAL(109,N92),
IF(SUBTOTAL(109,N91)&gt;0,SUBTOTAL(109,N91),
))))))))))))))))))),1,0)</f>
        <v>0</v>
      </c>
      <c r="D110" s="1132">
        <f>IF(Расходы_2[[#This Row],[КВР]]&gt;
IF(SUBTOTAL(109,L109)&gt;0,SUBTOTAL(109,L109),
IF(SUBTOTAL(109,L108)&gt;0,SUBTOTAL(109,L108),
IF(SUBTOTAL(109,L107)&gt;0,SUBTOTAL(109,L107),
IF(SUBTOTAL(109,L106)&gt;0,SUBTOTAL(109,L106),
IF(SUBTOTAL(109,L105)&gt;0,SUBTOTAL(109,L105),
IF(SUBTOTAL(109,L104)&gt;0,SUBTOTAL(109,L104),
IF(SUBTOTAL(109,L103)&gt;0,SUBTOTAL(109,L103),
IF(SUBTOTAL(109,L102)&gt;0,SUBTOTAL(109,L102),
IF(SUBTOTAL(109,L101)&gt;0,SUBTOTAL(109,L101),
IF(SUBTOTAL(109,L100)&gt;0,SUBTOTAL(109,L100),
IF(SUBTOTAL(109,L99)&gt;0,SUBTOTAL(109,L100),
IF(SUBTOTAL(109,L98)&gt;0,SUBTOTAL(109,L98),
IF(SUBTOTAL(109,L97)&gt;0,SUBTOTAL(109,L97),
IF(SUBTOTAL(109,L96)&gt;0,SUBTOTAL(109,L96),
IF(SUBTOTAL(109,L95)&gt;0,SUBTOTAL(109,L95),
IF(SUBTOTAL(109,L94)&gt;0,SUBTOTAL(109,L94),
IF(SUBTOTAL(109,L93)&gt;0,SUBTOTAL(109,L93),
IF(SUBTOTAL(109,L92)&gt;0,SUBTOTAL(109,L92),
IF(SUBTOTAL(109,L91)&gt;0,SUBTOTAL(109,L91),
))))))))))))))))))),1,0)</f>
        <v>1</v>
      </c>
      <c r="E110" s="1132">
        <f>IF(AND(Расходы_2[[#This Row],[КЦ]]="14561Э",M109="14561Т"),1,
IF(Расходы_2[[#This Row],[КЦ]]&gt;
IF(SUBTOTAL(109,M109)&gt;0,SUBTOTAL(109,M109),
IF(SUBTOTAL(109,M108)&gt;0,SUBTOTAL(109,M108),
IF(SUBTOTAL(109,M107)&gt;0,SUBTOTAL(109,M107),
IF(SUBTOTAL(109,M106)&gt;0,SUBTOTAL(109,M106),
IF(SUBTOTAL(109,M105)&gt;0,SUBTOTAL(109,M105),
IF(SUBTOTAL(109,M104)&gt;0,SUBTOTAL(109,M104))))))),1,0))</f>
        <v>0</v>
      </c>
      <c r="F110" s="1132">
        <f>IF(Расходы_2[[#This Row],[КОСГУ]]&gt;
IF(SUBTOTAL(109,N109)&gt;0,SUBTOTAL(109,N109),
IF(SUBTOTAL(109,N108)&gt;0,SUBTOTAL(109,N108),
IF(SUBTOTAL(109,N107)&gt;0,SUBTOTAL(109,N107),
IF(SUBTOTAL(109,N106)&gt;0,SUBTOTAL(109,N106),
IF(SUBTOTAL(109,N105)&gt;0,SUBTOTAL(109,N105),
IF(SUBTOTAL(109,N104)&gt;0,SUBTOTAL(109,N104),
IF(SUBTOTAL(109,N103)&gt;0,SUBTOTAL(109,N103),
IF(SUBTOTAL(109,N102)&gt;0,SUBTOTAL(109,N102),
IF(SUBTOTAL(109,N101)&gt;0,SUBTOTAL(109,N101),
IF(SUBTOTAL(109,N100)&gt;0,SUBTOTAL(109,N100),
IF(SUBTOTAL(109,N99)&gt;0,SUBTOTAL(109,N100),
IF(SUBTOTAL(109,N98)&gt;0,SUBTOTAL(109,N98),
IF(SUBTOTAL(109,N97)&gt;0,SUBTOTAL(109,N97),
IF(SUBTOTAL(109,N96)&gt;0,SUBTOTAL(109,N96),
IF(SUBTOTAL(109,N95)&gt;0,SUBTOTAL(109,N95),
IF(SUBTOTAL(109,N94)&gt;0,SUBTOTAL(109,N94),
IF(SUBTOTAL(109,N93)&gt;0,SUBTOTAL(109,N93),
IF(SUBTOTAL(109,N92)&gt;0,SUBTOTAL(109,N92),
IF(SUBTOTAL(109,N91)&gt;0,SUBTOTAL(109,N91),
))))))))))))))))))),1,0)</f>
        <v>0</v>
      </c>
      <c r="G110" s="1132" t="e">
        <f ca="1">_xlfn.AGGREGATE(9,5,$D$69:D110)</f>
        <v>#NAME?</v>
      </c>
      <c r="H110" s="1132" t="e">
        <f ca="1">_xlfn.AGGREGATE(9,5,$E$69:E110)</f>
        <v>#NAME?</v>
      </c>
      <c r="I110" s="1132" t="e">
        <f ca="1">_xlfn.AGGREGATE(9,5,$F$69:F110)</f>
        <v>#NAME?</v>
      </c>
      <c r="J110" s="1133" t="str">
        <f>IF(SUM(Расходы_2[[#This Row],[2 025]:[2 027]])=0,"000",".")</f>
        <v>000</v>
      </c>
      <c r="K110" s="965">
        <v>2</v>
      </c>
      <c r="L110" s="908">
        <v>851</v>
      </c>
      <c r="M110" s="966"/>
      <c r="N110" s="908">
        <v>291</v>
      </c>
      <c r="O110" s="967"/>
      <c r="P110" s="967"/>
      <c r="Q110" s="967"/>
      <c r="R110" s="1239" t="s">
        <v>264</v>
      </c>
      <c r="S110" s="1128"/>
      <c r="Y110" s="959"/>
      <c r="Z110" s="959"/>
      <c r="AA110" s="959"/>
      <c r="AB110" s="963"/>
      <c r="AE110" s="51">
        <f>COUNT(102,$AF$69:AF110)-1</f>
        <v>42</v>
      </c>
      <c r="AF110" s="50">
        <v>1</v>
      </c>
    </row>
    <row r="111" spans="1:32" ht="20.25" customHeight="1">
      <c r="A111" s="983">
        <f>IF(Расходы_2[[#This Row],[КВР]]&gt;=
IF(SUBTOTAL(109,L110)&gt;0,SUBTOTAL(109,L110),
IF(SUBTOTAL(109,L109)&gt;0,SUBTOTAL(109,L109),
IF(SUBTOTAL(109,L108)&gt;0,SUBTOTAL(109,L108),
IF(SUBTOTAL(109,L107)&gt;0,SUBTOTAL(109,L107),
IF(SUBTOTAL(109,L106)&gt;0,SUBTOTAL(109,L106),
IF(SUBTOTAL(109,L105)&gt;0,SUBTOTAL(109,L105),
IF(SUBTOTAL(109,L104)&gt;0,SUBTOTAL(109,L104),
IF(SUBTOTAL(109,L103)&gt;0,SUBTOTAL(109,L103),
IF(SUBTOTAL(109,L102)&gt;0,SUBTOTAL(109,L102),
IF(SUBTOTAL(109,L101)&gt;0,SUBTOTAL(109,L101),
IF(SUBTOTAL(109,L100)&gt;0,SUBTOTAL(109,L101),
IF(SUBTOTAL(109,L99)&gt;0,SUBTOTAL(109,L99),
IF(SUBTOTAL(109,L98)&gt;0,SUBTOTAL(109,L98),
IF(SUBTOTAL(109,L97)&gt;0,SUBTOTAL(109,L97),
IF(SUBTOTAL(109,L96)&gt;0,SUBTOTAL(109,L96),
IF(SUBTOTAL(109,L95)&gt;0,SUBTOTAL(109,L95),
IF(SUBTOTAL(109,L94)&gt;0,SUBTOTAL(109,L94),
IF(SUBTOTAL(109,L93)&gt;0,SUBTOTAL(109,L93),
IF(SUBTOTAL(109,L92)&gt;0,SUBTOTAL(109,L92),
))))))))))))))))))),1,0)</f>
        <v>1</v>
      </c>
      <c r="B111" s="983"/>
      <c r="C111" s="983">
        <f>IF(Расходы_2[[#This Row],[КОСГУ]]&gt;=
IF(SUBTOTAL(109,N110)&gt;0,SUBTOTAL(109,N110),
IF(SUBTOTAL(109,N109)&gt;0,SUBTOTAL(109,N109),
IF(SUBTOTAL(109,N108)&gt;0,SUBTOTAL(109,N108),
IF(SUBTOTAL(109,N107)&gt;0,SUBTOTAL(109,N107),
IF(SUBTOTAL(109,N106)&gt;0,SUBTOTAL(109,N106),
IF(SUBTOTAL(109,N105)&gt;0,SUBTOTAL(109,N105),
IF(SUBTOTAL(109,N104)&gt;0,SUBTOTAL(109,N104),
IF(SUBTOTAL(109,N103)&gt;0,SUBTOTAL(109,N103),
IF(SUBTOTAL(109,N102)&gt;0,SUBTOTAL(109,N102),
IF(SUBTOTAL(109,N101)&gt;0,SUBTOTAL(109,N101),
IF(SUBTOTAL(109,N100)&gt;0,SUBTOTAL(109,N101),
IF(SUBTOTAL(109,N99)&gt;0,SUBTOTAL(109,N99),
IF(SUBTOTAL(109,N98)&gt;0,SUBTOTAL(109,N98),
IF(SUBTOTAL(109,N97)&gt;0,SUBTOTAL(109,N97),
IF(SUBTOTAL(109,N96)&gt;0,SUBTOTAL(109,N96),
IF(SUBTOTAL(109,N95)&gt;0,SUBTOTAL(109,N95),
IF(SUBTOTAL(109,N94)&gt;0,SUBTOTAL(109,N94),
IF(SUBTOTAL(109,N93)&gt;0,SUBTOTAL(109,N93),
IF(SUBTOTAL(109,N92)&gt;0,SUBTOTAL(109,N92),
))))))))))))))))))),1,0)</f>
        <v>1</v>
      </c>
      <c r="D111" s="983">
        <f>IF(Расходы_2[[#This Row],[КВР]]&gt;
IF(SUBTOTAL(109,L110)&gt;0,SUBTOTAL(109,L110),
IF(SUBTOTAL(109,L109)&gt;0,SUBTOTAL(109,L109),
IF(SUBTOTAL(109,L108)&gt;0,SUBTOTAL(109,L108),
IF(SUBTOTAL(109,L107)&gt;0,SUBTOTAL(109,L107),
IF(SUBTOTAL(109,L106)&gt;0,SUBTOTAL(109,L106),
IF(SUBTOTAL(109,L105)&gt;0,SUBTOTAL(109,L105),
IF(SUBTOTAL(109,L104)&gt;0,SUBTOTAL(109,L104),
IF(SUBTOTAL(109,L103)&gt;0,SUBTOTAL(109,L103),
IF(SUBTOTAL(109,L102)&gt;0,SUBTOTAL(109,L102),
IF(SUBTOTAL(109,L101)&gt;0,SUBTOTAL(109,L101),
IF(SUBTOTAL(109,L100)&gt;0,SUBTOTAL(109,L101),
IF(SUBTOTAL(109,L99)&gt;0,SUBTOTAL(109,L99),
IF(SUBTOTAL(109,L98)&gt;0,SUBTOTAL(109,L98),
IF(SUBTOTAL(109,L97)&gt;0,SUBTOTAL(109,L97),
IF(SUBTOTAL(109,L96)&gt;0,SUBTOTAL(109,L96),
IF(SUBTOTAL(109,L95)&gt;0,SUBTOTAL(109,L95),
IF(SUBTOTAL(109,L94)&gt;0,SUBTOTAL(109,L94),
IF(SUBTOTAL(109,L93)&gt;0,SUBTOTAL(109,L93),
IF(SUBTOTAL(109,L92)&gt;0,SUBTOTAL(109,L92),
))))))))))))))))))),1,0)</f>
        <v>1</v>
      </c>
      <c r="E111" s="983">
        <f>IF(AND(Расходы_2[[#This Row],[КЦ]]="14561Э",M109="14561Т"),1,
IF(Расходы_2[[#This Row],[КЦ]]&gt;
IF(SUBTOTAL(109,M109)&gt;0,SUBTOTAL(109,M109),
IF(SUBTOTAL(109,M108)&gt;0,SUBTOTAL(109,M108),
IF(SUBTOTAL(109,M107)&gt;0,SUBTOTAL(109,M107),
IF(SUBTOTAL(109,M106)&gt;0,SUBTOTAL(109,M106),
IF(SUBTOTAL(109,M105)&gt;0,SUBTOTAL(109,M105),
IF(SUBTOTAL(109,M104)&gt;0,SUBTOTAL(109,M104))))))),1,0))</f>
        <v>0</v>
      </c>
      <c r="F111" s="983">
        <f>IF(Расходы_2[[#This Row],[КОСГУ]]&gt;
IF(SUBTOTAL(109,N110)&gt;0,SUBTOTAL(109,N110),
IF(SUBTOTAL(109,N109)&gt;0,SUBTOTAL(109,N109),
IF(SUBTOTAL(109,N108)&gt;0,SUBTOTAL(109,N108),
IF(SUBTOTAL(109,N107)&gt;0,SUBTOTAL(109,N107),
IF(SUBTOTAL(109,N106)&gt;0,SUBTOTAL(109,N106),
IF(SUBTOTAL(109,N105)&gt;0,SUBTOTAL(109,N105),
IF(SUBTOTAL(109,N104)&gt;0,SUBTOTAL(109,N104),
IF(SUBTOTAL(109,N103)&gt;0,SUBTOTAL(109,N103),
IF(SUBTOTAL(109,N102)&gt;0,SUBTOTAL(109,N102),
IF(SUBTOTAL(109,N101)&gt;0,SUBTOTAL(109,N101),
IF(SUBTOTAL(109,N100)&gt;0,SUBTOTAL(109,N101),
IF(SUBTOTAL(109,N99)&gt;0,SUBTOTAL(109,N99),
IF(SUBTOTAL(109,N98)&gt;0,SUBTOTAL(109,N98),
IF(SUBTOTAL(109,N97)&gt;0,SUBTOTAL(109,N97),
IF(SUBTOTAL(109,N96)&gt;0,SUBTOTAL(109,N96),
IF(SUBTOTAL(109,N95)&gt;0,SUBTOTAL(109,N95),
IF(SUBTOTAL(109,N94)&gt;0,SUBTOTAL(109,N94),
IF(SUBTOTAL(109,N93)&gt;0,SUBTOTAL(109,N93),
IF(SUBTOTAL(109,N92)&gt;0,SUBTOTAL(109,N92),
))))))))))))))))))),1,0)</f>
        <v>0</v>
      </c>
      <c r="G111" s="983" t="e">
        <f ca="1">_xlfn.AGGREGATE(9,5,$D$69:D111)</f>
        <v>#NAME?</v>
      </c>
      <c r="H111" s="983" t="e">
        <f ca="1">_xlfn.AGGREGATE(9,5,$E$69:E111)</f>
        <v>#NAME?</v>
      </c>
      <c r="I111" s="983" t="e">
        <f ca="1">_xlfn.AGGREGATE(9,5,$F$69:F111)</f>
        <v>#NAME?</v>
      </c>
      <c r="J111" s="964" t="str">
        <f>IF(SUM(Расходы_2[[#This Row],[2 025]:[2 027]])=0,"000",".")</f>
        <v>000</v>
      </c>
      <c r="K111" s="965">
        <v>2</v>
      </c>
      <c r="L111" s="908">
        <v>852</v>
      </c>
      <c r="M111" s="966"/>
      <c r="N111" s="908">
        <v>291</v>
      </c>
      <c r="O111" s="967"/>
      <c r="P111" s="967"/>
      <c r="Q111" s="967"/>
      <c r="R111" s="1239" t="s">
        <v>257</v>
      </c>
      <c r="S111" s="1128"/>
      <c r="Y111" s="959"/>
      <c r="Z111" s="959"/>
      <c r="AA111" s="959"/>
      <c r="AB111" s="963"/>
      <c r="AE111" s="51">
        <f>COUNT(102,$AF$69:AF111)-1</f>
        <v>43</v>
      </c>
      <c r="AF111" s="50">
        <v>1</v>
      </c>
    </row>
    <row r="112" spans="1:32" ht="20.25" customHeight="1">
      <c r="A112" s="983">
        <f>IF(Расходы_2[[#This Row],[КВР]]&gt;=
IF(SUBTOTAL(109,L111)&gt;0,SUBTOTAL(109,L111),
IF(SUBTOTAL(109,L110)&gt;0,SUBTOTAL(109,L110),
IF(SUBTOTAL(109,L109)&gt;0,SUBTOTAL(109,L109),
IF(SUBTOTAL(109,L108)&gt;0,SUBTOTAL(109,L108),
IF(SUBTOTAL(109,L107)&gt;0,SUBTOTAL(109,L107),
IF(SUBTOTAL(109,L106)&gt;0,SUBTOTAL(109,L106),
IF(SUBTOTAL(109,L105)&gt;0,SUBTOTAL(109,L105),
IF(SUBTOTAL(109,L104)&gt;0,SUBTOTAL(109,L104),
IF(SUBTOTAL(109,L103)&gt;0,SUBTOTAL(109,L103),
IF(SUBTOTAL(109,L102)&gt;0,SUBTOTAL(109,L102),
IF(SUBTOTAL(109,L101)&gt;0,SUBTOTAL(109,L102),
IF(SUBTOTAL(109,L100)&gt;0,SUBTOTAL(109,L100),
IF(SUBTOTAL(109,L99)&gt;0,SUBTOTAL(109,L99),
IF(SUBTOTAL(109,L98)&gt;0,SUBTOTAL(109,L98),
IF(SUBTOTAL(109,L97)&gt;0,SUBTOTAL(109,L97),
IF(SUBTOTAL(109,L96)&gt;0,SUBTOTAL(109,L96),
IF(SUBTOTAL(109,L95)&gt;0,SUBTOTAL(109,L95),
IF(SUBTOTAL(109,L94)&gt;0,SUBTOTAL(109,L94),
IF(SUBTOTAL(109,L93)&gt;0,SUBTOTAL(109,L93),
))))))))))))))))))),1,0)</f>
        <v>1</v>
      </c>
      <c r="B112" s="983"/>
      <c r="C112" s="983">
        <f>IF(Расходы_2[[#This Row],[КОСГУ]]&gt;=
IF(SUBTOTAL(109,N111)&gt;0,SUBTOTAL(109,N111),
IF(SUBTOTAL(109,N110)&gt;0,SUBTOTAL(109,N110),
IF(SUBTOTAL(109,N109)&gt;0,SUBTOTAL(109,N109),
IF(SUBTOTAL(109,N108)&gt;0,SUBTOTAL(109,N108),
IF(SUBTOTAL(109,N107)&gt;0,SUBTOTAL(109,N107),
IF(SUBTOTAL(109,N106)&gt;0,SUBTOTAL(109,N106),
IF(SUBTOTAL(109,N105)&gt;0,SUBTOTAL(109,N105),
IF(SUBTOTAL(109,N104)&gt;0,SUBTOTAL(109,N104),
IF(SUBTOTAL(109,N103)&gt;0,SUBTOTAL(109,N103),
IF(SUBTOTAL(109,N102)&gt;0,SUBTOTAL(109,N102),
IF(SUBTOTAL(109,N101)&gt;0,SUBTOTAL(109,N102),
IF(SUBTOTAL(109,N100)&gt;0,SUBTOTAL(109,N100),
IF(SUBTOTAL(109,N99)&gt;0,SUBTOTAL(109,N99),
IF(SUBTOTAL(109,N98)&gt;0,SUBTOTAL(109,N98),
IF(SUBTOTAL(109,N97)&gt;0,SUBTOTAL(109,N97),
IF(SUBTOTAL(109,N96)&gt;0,SUBTOTAL(109,N96),
IF(SUBTOTAL(109,N95)&gt;0,SUBTOTAL(109,N95),
IF(SUBTOTAL(109,N94)&gt;0,SUBTOTAL(109,N94),
IF(SUBTOTAL(109,N93)&gt;0,SUBTOTAL(109,N93),
))))))))))))))))))),1,0)</f>
        <v>1</v>
      </c>
      <c r="D112" s="983">
        <f>IF(Расходы_2[[#This Row],[КВР]]&gt;
IF(SUBTOTAL(109,L111)&gt;0,SUBTOTAL(109,L111),
IF(SUBTOTAL(109,L110)&gt;0,SUBTOTAL(109,L110),
IF(SUBTOTAL(109,L109)&gt;0,SUBTOTAL(109,L109),
IF(SUBTOTAL(109,L108)&gt;0,SUBTOTAL(109,L108),
IF(SUBTOTAL(109,L107)&gt;0,SUBTOTAL(109,L107),
IF(SUBTOTAL(109,L106)&gt;0,SUBTOTAL(109,L106),
IF(SUBTOTAL(109,L105)&gt;0,SUBTOTAL(109,L105),
IF(SUBTOTAL(109,L104)&gt;0,SUBTOTAL(109,L104),
IF(SUBTOTAL(109,L103)&gt;0,SUBTOTAL(109,L103),
IF(SUBTOTAL(109,L102)&gt;0,SUBTOTAL(109,L102),
IF(SUBTOTAL(109,L101)&gt;0,SUBTOTAL(109,L102),
IF(SUBTOTAL(109,L100)&gt;0,SUBTOTAL(109,L100),
IF(SUBTOTAL(109,L99)&gt;0,SUBTOTAL(109,L99),
IF(SUBTOTAL(109,L98)&gt;0,SUBTOTAL(109,L98),
IF(SUBTOTAL(109,L97)&gt;0,SUBTOTAL(109,L97),
IF(SUBTOTAL(109,L96)&gt;0,SUBTOTAL(109,L96),
IF(SUBTOTAL(109,L95)&gt;0,SUBTOTAL(109,L95),
IF(SUBTOTAL(109,L94)&gt;0,SUBTOTAL(109,L94),
IF(SUBTOTAL(109,L93)&gt;0,SUBTOTAL(109,L93),
))))))))))))))))))),1,0)</f>
        <v>1</v>
      </c>
      <c r="E112" s="983">
        <f>IF(AND(Расходы_2[[#This Row],[КЦ]]="14561Э",M111="14561Т"),1,
IF(Расходы_2[[#This Row],[КЦ]]&gt;
IF(SUBTOTAL(109,M111)&gt;0,SUBTOTAL(109,M111),
IF(SUBTOTAL(109,M109)&gt;0,SUBTOTAL(109,M109),
IF(SUBTOTAL(109,M108)&gt;0,SUBTOTAL(109,M108),
IF(SUBTOTAL(109,M107)&gt;0,SUBTOTAL(109,M107),
IF(SUBTOTAL(109,M106)&gt;0,SUBTOTAL(109,M106),
IF(SUBTOTAL(109,M105)&gt;0,SUBTOTAL(109,M105))))))),1,0))</f>
        <v>0</v>
      </c>
      <c r="F112" s="983">
        <f>IF(Расходы_2[[#This Row],[КОСГУ]]&gt;
IF(SUBTOTAL(109,N111)&gt;0,SUBTOTAL(109,N111),
IF(SUBTOTAL(109,N110)&gt;0,SUBTOTAL(109,N110),
IF(SUBTOTAL(109,N109)&gt;0,SUBTOTAL(109,N109),
IF(SUBTOTAL(109,N108)&gt;0,SUBTOTAL(109,N108),
IF(SUBTOTAL(109,N107)&gt;0,SUBTOTAL(109,N107),
IF(SUBTOTAL(109,N106)&gt;0,SUBTOTAL(109,N106),
IF(SUBTOTAL(109,N105)&gt;0,SUBTOTAL(109,N105),
IF(SUBTOTAL(109,N104)&gt;0,SUBTOTAL(109,N104),
IF(SUBTOTAL(109,N103)&gt;0,SUBTOTAL(109,N103),
IF(SUBTOTAL(109,N102)&gt;0,SUBTOTAL(109,N102),
IF(SUBTOTAL(109,N101)&gt;0,SUBTOTAL(109,N102),
IF(SUBTOTAL(109,N100)&gt;0,SUBTOTAL(109,N100),
IF(SUBTOTAL(109,N99)&gt;0,SUBTOTAL(109,N99),
IF(SUBTOTAL(109,N98)&gt;0,SUBTOTAL(109,N98),
IF(SUBTOTAL(109,N97)&gt;0,SUBTOTAL(109,N97),
IF(SUBTOTAL(109,N96)&gt;0,SUBTOTAL(109,N96),
IF(SUBTOTAL(109,N95)&gt;0,SUBTOTAL(109,N95),
IF(SUBTOTAL(109,N94)&gt;0,SUBTOTAL(109,N94),
IF(SUBTOTAL(109,N93)&gt;0,SUBTOTAL(109,N93),
))))))))))))))))))),1,0)</f>
        <v>1</v>
      </c>
      <c r="G112" s="983" t="e">
        <f ca="1">_xlfn.AGGREGATE(9,5,$D$69:D112)</f>
        <v>#NAME?</v>
      </c>
      <c r="H112" s="983" t="e">
        <f ca="1">_xlfn.AGGREGATE(9,5,$E$69:E112)</f>
        <v>#NAME?</v>
      </c>
      <c r="I112" s="983" t="e">
        <f ca="1">_xlfn.AGGREGATE(9,5,$F$69:F112)</f>
        <v>#NAME?</v>
      </c>
      <c r="J112" s="964" t="str">
        <f>IF(SUM(Расходы_2[[#This Row],[2 025]:[2 027]])=0,"000",".")</f>
        <v>000</v>
      </c>
      <c r="K112" s="965">
        <v>2</v>
      </c>
      <c r="L112" s="908">
        <v>853</v>
      </c>
      <c r="M112" s="966"/>
      <c r="N112" s="908">
        <v>292</v>
      </c>
      <c r="O112" s="961"/>
      <c r="P112" s="961"/>
      <c r="Q112" s="961"/>
      <c r="R112" s="1239" t="s">
        <v>258</v>
      </c>
      <c r="S112" s="1128"/>
      <c r="Y112" s="959"/>
      <c r="Z112" s="959"/>
      <c r="AA112" s="959"/>
      <c r="AB112" s="963"/>
      <c r="AE112" s="51">
        <f>COUNT(102,$AF$69:AF112)-1</f>
        <v>44</v>
      </c>
      <c r="AF112" s="50">
        <v>1</v>
      </c>
    </row>
    <row r="113" spans="1:70" ht="20.25" customHeight="1">
      <c r="A113" s="983">
        <f>IF(Расходы_2[[#This Row],[КВР]]&gt;=
IF(SUBTOTAL(109,L112)&gt;0,SUBTOTAL(109,L112),
IF(SUBTOTAL(109,L111)&gt;0,SUBTOTAL(109,L111),
IF(SUBTOTAL(109,L110)&gt;0,SUBTOTAL(109,L110),
IF(SUBTOTAL(109,L109)&gt;0,SUBTOTAL(109,L109),
IF(SUBTOTAL(109,L108)&gt;0,SUBTOTAL(109,L108),
IF(SUBTOTAL(109,L107)&gt;0,SUBTOTAL(109,L107),
IF(SUBTOTAL(109,L106)&gt;0,SUBTOTAL(109,L106),
IF(SUBTOTAL(109,L105)&gt;0,SUBTOTAL(109,L105),
IF(SUBTOTAL(109,L104)&gt;0,SUBTOTAL(109,L104),
IF(SUBTOTAL(109,L103)&gt;0,SUBTOTAL(109,L103),
IF(SUBTOTAL(109,L102)&gt;0,SUBTOTAL(109,L103),
IF(SUBTOTAL(109,L101)&gt;0,SUBTOTAL(109,L101),
IF(SUBTOTAL(109,L100)&gt;0,SUBTOTAL(109,L100),
IF(SUBTOTAL(109,L99)&gt;0,SUBTOTAL(109,L99),
IF(SUBTOTAL(109,L98)&gt;0,SUBTOTAL(109,L98),
IF(SUBTOTAL(109,L97)&gt;0,SUBTOTAL(109,L97),
IF(SUBTOTAL(109,L96)&gt;0,SUBTOTAL(109,L96),
IF(SUBTOTAL(109,L95)&gt;0,SUBTOTAL(109,L95),
IF(SUBTOTAL(109,L94)&gt;0,SUBTOTAL(109,L94),
))))))))))))))))))),1,0)</f>
        <v>1</v>
      </c>
      <c r="B113" s="983"/>
      <c r="C113" s="983">
        <f>IF(Расходы_2[[#This Row],[КОСГУ]]&gt;=
IF(SUBTOTAL(109,N112)&gt;0,SUBTOTAL(109,N112),
IF(SUBTOTAL(109,N111)&gt;0,SUBTOTAL(109,N111),
IF(SUBTOTAL(109,N110)&gt;0,SUBTOTAL(109,N110),
IF(SUBTOTAL(109,N109)&gt;0,SUBTOTAL(109,N109),
IF(SUBTOTAL(109,N108)&gt;0,SUBTOTAL(109,N108),
IF(SUBTOTAL(109,N107)&gt;0,SUBTOTAL(109,N107),
IF(SUBTOTAL(109,N106)&gt;0,SUBTOTAL(109,N106),
IF(SUBTOTAL(109,N105)&gt;0,SUBTOTAL(109,N105),
IF(SUBTOTAL(109,N104)&gt;0,SUBTOTAL(109,N104),
IF(SUBTOTAL(109,N103)&gt;0,SUBTOTAL(109,N103),
IF(SUBTOTAL(109,N102)&gt;0,SUBTOTAL(109,N103),
IF(SUBTOTAL(109,N101)&gt;0,SUBTOTAL(109,N101),
IF(SUBTOTAL(109,N100)&gt;0,SUBTOTAL(109,N100),
IF(SUBTOTAL(109,N99)&gt;0,SUBTOTAL(109,N99),
IF(SUBTOTAL(109,N98)&gt;0,SUBTOTAL(109,N98),
IF(SUBTOTAL(109,N97)&gt;0,SUBTOTAL(109,N97),
IF(SUBTOTAL(109,N96)&gt;0,SUBTOTAL(109,N96),
IF(SUBTOTAL(109,N95)&gt;0,SUBTOTAL(109,N95),
IF(SUBTOTAL(109,N94)&gt;0,SUBTOTAL(109,N94),
))))))))))))))))))),1,0)</f>
        <v>1</v>
      </c>
      <c r="D113" s="983">
        <f>IF(Расходы_2[[#This Row],[КВР]]&gt;
IF(SUBTOTAL(109,L112)&gt;0,SUBTOTAL(109,L112),
IF(SUBTOTAL(109,L111)&gt;0,SUBTOTAL(109,L111),
IF(SUBTOTAL(109,L110)&gt;0,SUBTOTAL(109,L110),
IF(SUBTOTAL(109,L109)&gt;0,SUBTOTAL(109,L109),
IF(SUBTOTAL(109,L108)&gt;0,SUBTOTAL(109,L108),
IF(SUBTOTAL(109,L107)&gt;0,SUBTOTAL(109,L107),
IF(SUBTOTAL(109,L106)&gt;0,SUBTOTAL(109,L106),
IF(SUBTOTAL(109,L105)&gt;0,SUBTOTAL(109,L105),
IF(SUBTOTAL(109,L104)&gt;0,SUBTOTAL(109,L104),
IF(SUBTOTAL(109,L103)&gt;0,SUBTOTAL(109,L103),
IF(SUBTOTAL(109,L102)&gt;0,SUBTOTAL(109,L103),
IF(SUBTOTAL(109,L101)&gt;0,SUBTOTAL(109,L101),
IF(SUBTOTAL(109,L100)&gt;0,SUBTOTAL(109,L100),
IF(SUBTOTAL(109,L99)&gt;0,SUBTOTAL(109,L99),
IF(SUBTOTAL(109,L98)&gt;0,SUBTOTAL(109,L98),
IF(SUBTOTAL(109,L97)&gt;0,SUBTOTAL(109,L97),
IF(SUBTOTAL(109,L96)&gt;0,SUBTOTAL(109,L96),
IF(SUBTOTAL(109,L95)&gt;0,SUBTOTAL(109,L95),
IF(SUBTOTAL(109,L94)&gt;0,SUBTOTAL(109,L94),
))))))))))))))))))),1,0)</f>
        <v>0</v>
      </c>
      <c r="E113" s="983">
        <f>IF(AND(Расходы_2[[#This Row],[КЦ]]="14561Э",M112="14561Т"),1,
IF(Расходы_2[[#This Row],[КЦ]]&gt;
IF(SUBTOTAL(109,M112)&gt;0,SUBTOTAL(109,M112),
IF(SUBTOTAL(109,M111)&gt;0,SUBTOTAL(109,M111),
IF(SUBTOTAL(109,M109)&gt;0,SUBTOTAL(109,M109),
IF(SUBTOTAL(109,M108)&gt;0,SUBTOTAL(109,M108),
IF(SUBTOTAL(109,M107)&gt;0,SUBTOTAL(109,M107),
IF(SUBTOTAL(109,M106)&gt;0,SUBTOTAL(109,M106))))))),1,0))</f>
        <v>0</v>
      </c>
      <c r="F113" s="983">
        <f>IF(Расходы_2[[#This Row],[КОСГУ]]&gt;
IF(SUBTOTAL(109,N112)&gt;0,SUBTOTAL(109,N112),
IF(SUBTOTAL(109,N111)&gt;0,SUBTOTAL(109,N111),
IF(SUBTOTAL(109,N110)&gt;0,SUBTOTAL(109,N110),
IF(SUBTOTAL(109,N109)&gt;0,SUBTOTAL(109,N109),
IF(SUBTOTAL(109,N108)&gt;0,SUBTOTAL(109,N108),
IF(SUBTOTAL(109,N107)&gt;0,SUBTOTAL(109,N107),
IF(SUBTOTAL(109,N106)&gt;0,SUBTOTAL(109,N106),
IF(SUBTOTAL(109,N105)&gt;0,SUBTOTAL(109,N105),
IF(SUBTOTAL(109,N104)&gt;0,SUBTOTAL(109,N104),
IF(SUBTOTAL(109,N103)&gt;0,SUBTOTAL(109,N103),
IF(SUBTOTAL(109,N102)&gt;0,SUBTOTAL(109,N103),
IF(SUBTOTAL(109,N101)&gt;0,SUBTOTAL(109,N101),
IF(SUBTOTAL(109,N100)&gt;0,SUBTOTAL(109,N100),
IF(SUBTOTAL(109,N99)&gt;0,SUBTOTAL(109,N99),
IF(SUBTOTAL(109,N98)&gt;0,SUBTOTAL(109,N98),
IF(SUBTOTAL(109,N97)&gt;0,SUBTOTAL(109,N97),
IF(SUBTOTAL(109,N96)&gt;0,SUBTOTAL(109,N96),
IF(SUBTOTAL(109,N95)&gt;0,SUBTOTAL(109,N95),
IF(SUBTOTAL(109,N94)&gt;0,SUBTOTAL(109,N94),
))))))))))))))))))),1,0)</f>
        <v>1</v>
      </c>
      <c r="G113" s="983" t="e">
        <f ca="1">_xlfn.AGGREGATE(9,5,$D$69:D113)</f>
        <v>#NAME?</v>
      </c>
      <c r="H113" s="983" t="e">
        <f ca="1">_xlfn.AGGREGATE(9,5,$E$69:E113)</f>
        <v>#NAME?</v>
      </c>
      <c r="I113" s="983" t="e">
        <f ca="1">_xlfn.AGGREGATE(9,5,$F$69:F113)</f>
        <v>#NAME?</v>
      </c>
      <c r="J113" s="964" t="str">
        <f>IF(SUM(Расходы_2[[#This Row],[2 025]:[2 027]])=0,"000",".")</f>
        <v>.</v>
      </c>
      <c r="K113" s="965">
        <v>2</v>
      </c>
      <c r="L113" s="908">
        <v>853</v>
      </c>
      <c r="M113" s="966"/>
      <c r="N113" s="908">
        <v>293</v>
      </c>
      <c r="O113" s="967">
        <v>30000</v>
      </c>
      <c r="P113" s="967"/>
      <c r="Q113" s="967"/>
      <c r="R113" s="1239" t="s">
        <v>259</v>
      </c>
      <c r="S113" s="1128"/>
      <c r="Y113" s="959"/>
      <c r="Z113" s="959"/>
      <c r="AA113" s="959"/>
      <c r="AB113" s="963"/>
      <c r="AE113" s="51">
        <f>COUNT(102,$AF$69:AF113)-1</f>
        <v>45</v>
      </c>
      <c r="AF113" s="50">
        <v>1</v>
      </c>
    </row>
    <row r="114" spans="1:70" ht="20.25" customHeight="1">
      <c r="A114" s="983">
        <f>IF(Расходы_2[[#This Row],[КВР]]&gt;=
IF(SUBTOTAL(109,L113)&gt;0,SUBTOTAL(109,L113),
IF(SUBTOTAL(109,L112)&gt;0,SUBTOTAL(109,L112),
IF(SUBTOTAL(109,L111)&gt;0,SUBTOTAL(109,L111),
IF(SUBTOTAL(109,L110)&gt;0,SUBTOTAL(109,L110),
IF(SUBTOTAL(109,L109)&gt;0,SUBTOTAL(109,L109),
IF(SUBTOTAL(109,L108)&gt;0,SUBTOTAL(109,L108),
IF(SUBTOTAL(109,L107)&gt;0,SUBTOTAL(109,L107),
IF(SUBTOTAL(109,L106)&gt;0,SUBTOTAL(109,L106),
IF(SUBTOTAL(109,L105)&gt;0,SUBTOTAL(109,L105),
IF(SUBTOTAL(109,L104)&gt;0,SUBTOTAL(109,L104),
IF(SUBTOTAL(109,L103)&gt;0,SUBTOTAL(109,L104),
IF(SUBTOTAL(109,L102)&gt;0,SUBTOTAL(109,L102),
IF(SUBTOTAL(109,L101)&gt;0,SUBTOTAL(109,L101),
IF(SUBTOTAL(109,L100)&gt;0,SUBTOTAL(109,L100),
IF(SUBTOTAL(109,L99)&gt;0,SUBTOTAL(109,L99),
IF(SUBTOTAL(109,L98)&gt;0,SUBTOTAL(109,L98),
IF(SUBTOTAL(109,L97)&gt;0,SUBTOTAL(109,L97),
IF(SUBTOTAL(109,L96)&gt;0,SUBTOTAL(109,L96),
IF(SUBTOTAL(109,L95)&gt;0,SUBTOTAL(109,L95),
))))))))))))))))))),1,0)</f>
        <v>1</v>
      </c>
      <c r="B114" s="983"/>
      <c r="C114" s="983">
        <f>IF(Расходы_2[[#This Row],[КОСГУ]]&gt;=
IF(SUBTOTAL(109,N113)&gt;0,SUBTOTAL(109,N113),
IF(SUBTOTAL(109,N112)&gt;0,SUBTOTAL(109,N112),
IF(SUBTOTAL(109,N111)&gt;0,SUBTOTAL(109,N111),
IF(SUBTOTAL(109,N110)&gt;0,SUBTOTAL(109,N110),
IF(SUBTOTAL(109,N109)&gt;0,SUBTOTAL(109,N109),
IF(SUBTOTAL(109,N108)&gt;0,SUBTOTAL(109,N108),
IF(SUBTOTAL(109,N107)&gt;0,SUBTOTAL(109,N107),
IF(SUBTOTAL(109,N106)&gt;0,SUBTOTAL(109,N106),
IF(SUBTOTAL(109,N105)&gt;0,SUBTOTAL(109,N105),
IF(SUBTOTAL(109,N104)&gt;0,SUBTOTAL(109,N104),
IF(SUBTOTAL(109,N103)&gt;0,SUBTOTAL(109,N104),
IF(SUBTOTAL(109,N102)&gt;0,SUBTOTAL(109,N102),
IF(SUBTOTAL(109,N101)&gt;0,SUBTOTAL(109,N101),
IF(SUBTOTAL(109,N100)&gt;0,SUBTOTAL(109,N100),
IF(SUBTOTAL(109,N99)&gt;0,SUBTOTAL(109,N99),
IF(SUBTOTAL(109,N98)&gt;0,SUBTOTAL(109,N98),
IF(SUBTOTAL(109,N97)&gt;0,SUBTOTAL(109,N97),
IF(SUBTOTAL(109,N96)&gt;0,SUBTOTAL(109,N96),
IF(SUBTOTAL(109,N95)&gt;0,SUBTOTAL(109,N95),
))))))))))))))))))),1,0)</f>
        <v>1</v>
      </c>
      <c r="D114" s="983">
        <f>IF(Расходы_2[[#This Row],[КВР]]&gt;
IF(SUBTOTAL(109,L113)&gt;0,SUBTOTAL(109,L113),
IF(SUBTOTAL(109,L112)&gt;0,SUBTOTAL(109,L112),
IF(SUBTOTAL(109,L111)&gt;0,SUBTOTAL(109,L111),
IF(SUBTOTAL(109,L110)&gt;0,SUBTOTAL(109,L110),
IF(SUBTOTAL(109,L109)&gt;0,SUBTOTAL(109,L109),
IF(SUBTOTAL(109,L108)&gt;0,SUBTOTAL(109,L108),
IF(SUBTOTAL(109,L107)&gt;0,SUBTOTAL(109,L107),
IF(SUBTOTAL(109,L106)&gt;0,SUBTOTAL(109,L106),
IF(SUBTOTAL(109,L105)&gt;0,SUBTOTAL(109,L105),
IF(SUBTOTAL(109,L104)&gt;0,SUBTOTAL(109,L104),
IF(SUBTOTAL(109,L103)&gt;0,SUBTOTAL(109,L104),
IF(SUBTOTAL(109,L102)&gt;0,SUBTOTAL(109,L102),
IF(SUBTOTAL(109,L101)&gt;0,SUBTOTAL(109,L101),
IF(SUBTOTAL(109,L100)&gt;0,SUBTOTAL(109,L100),
IF(SUBTOTAL(109,L99)&gt;0,SUBTOTAL(109,L99),
IF(SUBTOTAL(109,L98)&gt;0,SUBTOTAL(109,L98),
IF(SUBTOTAL(109,L97)&gt;0,SUBTOTAL(109,L97),
IF(SUBTOTAL(109,L96)&gt;0,SUBTOTAL(109,L96),
IF(SUBTOTAL(109,L95)&gt;0,SUBTOTAL(109,L95),
))))))))))))))))))),1,0)</f>
        <v>0</v>
      </c>
      <c r="E114" s="983">
        <f>IF(AND(Расходы_2[[#This Row],[КЦ]]="14561Э",M113="14561Т"),1,
IF(Расходы_2[[#This Row],[КЦ]]&gt;
IF(SUBTOTAL(109,M113)&gt;0,SUBTOTAL(109,M113),
IF(SUBTOTAL(109,M112)&gt;0,SUBTOTAL(109,M112),
IF(SUBTOTAL(109,M111)&gt;0,SUBTOTAL(109,M111),
IF(SUBTOTAL(109,M109)&gt;0,SUBTOTAL(109,M109),
IF(SUBTOTAL(109,M108)&gt;0,SUBTOTAL(109,M108),
IF(SUBTOTAL(109,M107)&gt;0,SUBTOTAL(109,M107))))))),1,0))</f>
        <v>0</v>
      </c>
      <c r="F114" s="983">
        <f>IF(Расходы_2[[#This Row],[КОСГУ]]&gt;
IF(SUBTOTAL(109,N113)&gt;0,SUBTOTAL(109,N113),
IF(SUBTOTAL(109,N112)&gt;0,SUBTOTAL(109,N112),
IF(SUBTOTAL(109,N111)&gt;0,SUBTOTAL(109,N111),
IF(SUBTOTAL(109,N110)&gt;0,SUBTOTAL(109,N110),
IF(SUBTOTAL(109,N109)&gt;0,SUBTOTAL(109,N109),
IF(SUBTOTAL(109,N108)&gt;0,SUBTOTAL(109,N108),
IF(SUBTOTAL(109,N107)&gt;0,SUBTOTAL(109,N107),
IF(SUBTOTAL(109,N106)&gt;0,SUBTOTAL(109,N106),
IF(SUBTOTAL(109,N105)&gt;0,SUBTOTAL(109,N105),
IF(SUBTOTAL(109,N104)&gt;0,SUBTOTAL(109,N104),
IF(SUBTOTAL(109,N103)&gt;0,SUBTOTAL(109,N104),
IF(SUBTOTAL(109,N102)&gt;0,SUBTOTAL(109,N102),
IF(SUBTOTAL(109,N101)&gt;0,SUBTOTAL(109,N101),
IF(SUBTOTAL(109,N100)&gt;0,SUBTOTAL(109,N100),
IF(SUBTOTAL(109,N99)&gt;0,SUBTOTAL(109,N99),
IF(SUBTOTAL(109,N98)&gt;0,SUBTOTAL(109,N98),
IF(SUBTOTAL(109,N97)&gt;0,SUBTOTAL(109,N97),
IF(SUBTOTAL(109,N96)&gt;0,SUBTOTAL(109,N96),
IF(SUBTOTAL(109,N95)&gt;0,SUBTOTAL(109,N95),
))))))))))))))))))),1,0)</f>
        <v>1</v>
      </c>
      <c r="G114" s="983" t="e">
        <f ca="1">_xlfn.AGGREGATE(9,5,$D$69:D114)</f>
        <v>#NAME?</v>
      </c>
      <c r="H114" s="983" t="e">
        <f ca="1">_xlfn.AGGREGATE(9,5,$E$69:E114)</f>
        <v>#NAME?</v>
      </c>
      <c r="I114" s="983" t="e">
        <f ca="1">_xlfn.AGGREGATE(9,5,$F$69:F114)</f>
        <v>#NAME?</v>
      </c>
      <c r="J114" s="964" t="str">
        <f>IF(SUM(Расходы_2[[#This Row],[2 025]:[2 027]])=0,"000",".")</f>
        <v>000</v>
      </c>
      <c r="K114" s="965">
        <v>2</v>
      </c>
      <c r="L114" s="908">
        <v>853</v>
      </c>
      <c r="M114" s="966"/>
      <c r="N114" s="908">
        <v>295</v>
      </c>
      <c r="O114" s="961"/>
      <c r="P114" s="961"/>
      <c r="Q114" s="961"/>
      <c r="R114" s="1238" t="s">
        <v>260</v>
      </c>
      <c r="S114" s="1128"/>
      <c r="Y114" s="959"/>
      <c r="Z114" s="959"/>
      <c r="AA114" s="959"/>
      <c r="AB114" s="963"/>
      <c r="AE114" s="51">
        <f>COUNT(102,$AF$69:AF114)-1</f>
        <v>46</v>
      </c>
      <c r="AF114" s="50">
        <v>1</v>
      </c>
    </row>
    <row r="115" spans="1:70" s="55" customFormat="1" ht="20.25" customHeight="1">
      <c r="A115" s="985">
        <f>IF(Расходы_2[[#This Row],[КВР]]&gt;=
IF(SUBTOTAL(109,L114)&gt;0,SUBTOTAL(109,L114),
IF(SUBTOTAL(109,L113)&gt;0,SUBTOTAL(109,L113),
IF(SUBTOTAL(109,L112)&gt;0,SUBTOTAL(109,L112),
IF(SUBTOTAL(109,L111)&gt;0,SUBTOTAL(109,L111),
IF(SUBTOTAL(109,L110)&gt;0,SUBTOTAL(109,L110),
IF(SUBTOTAL(109,L109)&gt;0,SUBTOTAL(109,L109),
IF(SUBTOTAL(109,L108)&gt;0,SUBTOTAL(109,L108),
IF(SUBTOTAL(109,L107)&gt;0,SUBTOTAL(109,L107),
IF(SUBTOTAL(109,L106)&gt;0,SUBTOTAL(109,L106),
IF(SUBTOTAL(109,L105)&gt;0,SUBTOTAL(109,L105),
IF(SUBTOTAL(109,L104)&gt;0,SUBTOTAL(109,L105),
IF(SUBTOTAL(109,L103)&gt;0,SUBTOTAL(109,L103),
IF(SUBTOTAL(109,L102)&gt;0,SUBTOTAL(109,L102),
IF(SUBTOTAL(109,L101)&gt;0,SUBTOTAL(109,L101),
IF(SUBTOTAL(109,L100)&gt;0,SUBTOTAL(109,L100),
IF(SUBTOTAL(109,L99)&gt;0,SUBTOTAL(109,L99),
IF(SUBTOTAL(109,L98)&gt;0,SUBTOTAL(109,L98),
IF(SUBTOTAL(109,L97)&gt;0,SUBTOTAL(109,L97),
IF(SUBTOTAL(109,L96)&gt;0,SUBTOTAL(109,L96),
))))))))))))))))))),1,0)</f>
        <v>1</v>
      </c>
      <c r="B115" s="985"/>
      <c r="C115" s="985">
        <f>IF(Расходы_2[[#This Row],[КОСГУ]]&gt;=
IF(SUBTOTAL(109,N114)&gt;0,SUBTOTAL(109,N114),
IF(SUBTOTAL(109,N113)&gt;0,SUBTOTAL(109,N113),
IF(SUBTOTAL(109,N112)&gt;0,SUBTOTAL(109,N112),
IF(SUBTOTAL(109,N111)&gt;0,SUBTOTAL(109,N111),
IF(SUBTOTAL(109,N110)&gt;0,SUBTOTAL(109,N110),
IF(SUBTOTAL(109,N109)&gt;0,SUBTOTAL(109,N109),
IF(SUBTOTAL(109,N108)&gt;0,SUBTOTAL(109,N108),
IF(SUBTOTAL(109,N107)&gt;0,SUBTOTAL(109,N107),
IF(SUBTOTAL(109,N106)&gt;0,SUBTOTAL(109,N106),
IF(SUBTOTAL(109,N105)&gt;0,SUBTOTAL(109,N105),
IF(SUBTOTAL(109,N104)&gt;0,SUBTOTAL(109,N105),
IF(SUBTOTAL(109,N103)&gt;0,SUBTOTAL(109,N103),
IF(SUBTOTAL(109,N102)&gt;0,SUBTOTAL(109,N102),
IF(SUBTOTAL(109,N101)&gt;0,SUBTOTAL(109,N101),
IF(SUBTOTAL(109,N100)&gt;0,SUBTOTAL(109,N100),
IF(SUBTOTAL(109,N99)&gt;0,SUBTOTAL(109,N99),
IF(SUBTOTAL(109,N98)&gt;0,SUBTOTAL(109,N98),
IF(SUBTOTAL(109,N97)&gt;0,SUBTOTAL(109,N97),
IF(SUBTOTAL(109,N96)&gt;0,SUBTOTAL(109,N96),
))))))))))))))))))),1,0)</f>
        <v>1</v>
      </c>
      <c r="D115" s="985">
        <f>IF(Расходы_2[[#This Row],[КВР]]&gt;
IF(SUBTOTAL(109,L114)&gt;0,SUBTOTAL(109,L114),
IF(SUBTOTAL(109,L113)&gt;0,SUBTOTAL(109,L113),
IF(SUBTOTAL(109,L112)&gt;0,SUBTOTAL(109,L112),
IF(SUBTOTAL(109,L111)&gt;0,SUBTOTAL(109,L111),
IF(SUBTOTAL(109,L110)&gt;0,SUBTOTAL(109,L110),
IF(SUBTOTAL(109,L109)&gt;0,SUBTOTAL(109,L109),
IF(SUBTOTAL(109,L108)&gt;0,SUBTOTAL(109,L108),
IF(SUBTOTAL(109,L107)&gt;0,SUBTOTAL(109,L107),
IF(SUBTOTAL(109,L106)&gt;0,SUBTOTAL(109,L106),
IF(SUBTOTAL(109,L105)&gt;0,SUBTOTAL(109,L105),
IF(SUBTOTAL(109,L104)&gt;0,SUBTOTAL(109,L105),
IF(SUBTOTAL(109,L103)&gt;0,SUBTOTAL(109,L103),
IF(SUBTOTAL(109,L102)&gt;0,SUBTOTAL(109,L102),
IF(SUBTOTAL(109,L101)&gt;0,SUBTOTAL(109,L101),
IF(SUBTOTAL(109,L100)&gt;0,SUBTOTAL(109,L100),
IF(SUBTOTAL(109,L99)&gt;0,SUBTOTAL(109,L99),
IF(SUBTOTAL(109,L98)&gt;0,SUBTOTAL(109,L98),
IF(SUBTOTAL(109,L97)&gt;0,SUBTOTAL(109,L97),
IF(SUBTOTAL(109,L96)&gt;0,SUBTOTAL(109,L96),
))))))))))))))))))),1,0)</f>
        <v>0</v>
      </c>
      <c r="E115" s="985">
        <f>IF(AND(Расходы_2[[#This Row],[КЦ]]="14561Э",M114="14561Т"),1,
IF(Расходы_2[[#This Row],[КЦ]]&gt;
IF(SUBTOTAL(109,M114)&gt;0,SUBTOTAL(109,M114),
IF(SUBTOTAL(109,M113)&gt;0,SUBTOTAL(109,M113),
IF(SUBTOTAL(109,M112)&gt;0,SUBTOTAL(109,M112),
IF(SUBTOTAL(109,M111)&gt;0,SUBTOTAL(109,M111),
IF(SUBTOTAL(109,M109)&gt;0,SUBTOTAL(109,M109),
IF(SUBTOTAL(109,M108)&gt;0,SUBTOTAL(109,M108))))))),1,0))</f>
        <v>0</v>
      </c>
      <c r="F115" s="985">
        <f>IF(Расходы_2[[#This Row],[КОСГУ]]&gt;
IF(SUBTOTAL(109,N114)&gt;0,SUBTOTAL(109,N114),
IF(SUBTOTAL(109,N113)&gt;0,SUBTOTAL(109,N113),
IF(SUBTOTAL(109,N112)&gt;0,SUBTOTAL(109,N112),
IF(SUBTOTAL(109,N111)&gt;0,SUBTOTAL(109,N111),
IF(SUBTOTAL(109,N110)&gt;0,SUBTOTAL(109,N110),
IF(SUBTOTAL(109,N109)&gt;0,SUBTOTAL(109,N109),
IF(SUBTOTAL(109,N108)&gt;0,SUBTOTAL(109,N108),
IF(SUBTOTAL(109,N107)&gt;0,SUBTOTAL(109,N107),
IF(SUBTOTAL(109,N106)&gt;0,SUBTOTAL(109,N106),
IF(SUBTOTAL(109,N105)&gt;0,SUBTOTAL(109,N105),
IF(SUBTOTAL(109,N104)&gt;0,SUBTOTAL(109,N105),
IF(SUBTOTAL(109,N103)&gt;0,SUBTOTAL(109,N103),
IF(SUBTOTAL(109,N102)&gt;0,SUBTOTAL(109,N102),
IF(SUBTOTAL(109,N101)&gt;0,SUBTOTAL(109,N101),
IF(SUBTOTAL(109,N100)&gt;0,SUBTOTAL(109,N100),
IF(SUBTOTAL(109,N99)&gt;0,SUBTOTAL(109,N99),
IF(SUBTOTAL(109,N98)&gt;0,SUBTOTAL(109,N98),
IF(SUBTOTAL(109,N97)&gt;0,SUBTOTAL(109,N97),
IF(SUBTOTAL(109,N96)&gt;0,SUBTOTAL(109,N96),
))))))))))))))))))),1,0)</f>
        <v>1</v>
      </c>
      <c r="G115" s="985" t="e">
        <f ca="1">_xlfn.AGGREGATE(9,5,$D$69:D115)</f>
        <v>#NAME?</v>
      </c>
      <c r="H115" s="985" t="e">
        <f ca="1">_xlfn.AGGREGATE(9,5,$E$69:E115)</f>
        <v>#NAME?</v>
      </c>
      <c r="I115" s="985" t="e">
        <f ca="1">_xlfn.AGGREGATE(9,5,$F$69:F115)</f>
        <v>#NAME?</v>
      </c>
      <c r="J115" s="952" t="str">
        <f>IF(SUM(Расходы_2[[#This Row],[2 025]:[2 027]])=0,"000",".")</f>
        <v>000</v>
      </c>
      <c r="K115" s="965">
        <v>2</v>
      </c>
      <c r="L115" s="908">
        <v>853</v>
      </c>
      <c r="M115" s="966"/>
      <c r="N115" s="908">
        <v>296</v>
      </c>
      <c r="O115" s="967"/>
      <c r="P115" s="967"/>
      <c r="Q115" s="967"/>
      <c r="R115" s="1238" t="s">
        <v>261</v>
      </c>
      <c r="S115" s="1128"/>
      <c r="T115" s="913"/>
      <c r="U115" s="913"/>
      <c r="V115" s="913"/>
      <c r="W115" s="913"/>
      <c r="X115" s="913"/>
      <c r="Y115" s="959"/>
      <c r="Z115" s="959"/>
      <c r="AA115" s="959"/>
      <c r="AB115" s="963"/>
      <c r="AC115" s="50"/>
      <c r="AD115" s="50"/>
      <c r="AE115" s="51">
        <f>COUNT(102,$AF$69:AF115)-1</f>
        <v>47</v>
      </c>
      <c r="AF115" s="50">
        <v>1</v>
      </c>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row>
    <row r="116" spans="1:70" s="51" customFormat="1" ht="20.25" customHeight="1">
      <c r="A116" s="1410"/>
      <c r="B116" s="1410"/>
      <c r="C116" s="1410"/>
      <c r="D116" s="1410"/>
      <c r="E116" s="1410"/>
      <c r="F116" s="1410"/>
      <c r="G116" s="1410"/>
      <c r="H116" s="1410"/>
      <c r="I116" s="1410"/>
      <c r="J116" s="1411"/>
      <c r="K116" s="1412"/>
      <c r="L116" s="1413"/>
      <c r="M116" s="1414"/>
      <c r="N116" s="1413"/>
      <c r="O116" s="1415"/>
      <c r="P116" s="1415"/>
      <c r="Q116" s="1415"/>
      <c r="R116" s="1416"/>
      <c r="S116" s="1128"/>
      <c r="T116" s="913"/>
      <c r="U116" s="913"/>
      <c r="V116" s="913"/>
      <c r="W116" s="913"/>
      <c r="X116" s="913"/>
      <c r="Y116" s="959"/>
      <c r="Z116" s="959"/>
      <c r="AA116" s="959"/>
      <c r="AB116" s="963"/>
      <c r="AC116" s="50"/>
      <c r="AD116" s="50"/>
      <c r="AF116" s="50">
        <v>1</v>
      </c>
    </row>
    <row r="117" spans="1:70" s="51" customFormat="1" ht="20.25" customHeight="1">
      <c r="A117" s="780"/>
      <c r="J117" s="956"/>
      <c r="K117" s="912"/>
      <c r="L117" s="397"/>
      <c r="M117" s="397"/>
      <c r="N117" s="403"/>
      <c r="O117" s="910"/>
      <c r="P117" s="910"/>
      <c r="Q117" s="910"/>
      <c r="R117" s="911"/>
      <c r="S117" s="1128"/>
      <c r="T117" s="913"/>
      <c r="U117" s="913"/>
      <c r="V117" s="913"/>
      <c r="W117" s="913"/>
      <c r="X117" s="913"/>
      <c r="Y117" s="959"/>
      <c r="Z117" s="959"/>
      <c r="AA117" s="959"/>
      <c r="AB117" s="963"/>
      <c r="AC117" s="50"/>
      <c r="AD117" s="50"/>
      <c r="AF117" s="50">
        <v>1</v>
      </c>
    </row>
    <row r="118" spans="1:70" s="51" customFormat="1" ht="20.25" customHeight="1">
      <c r="A118" s="780"/>
      <c r="J118" s="956"/>
      <c r="K118" s="912"/>
      <c r="L118" s="397"/>
      <c r="M118" s="397"/>
      <c r="N118" s="403"/>
      <c r="O118" s="910"/>
      <c r="P118" s="910"/>
      <c r="Q118" s="910"/>
      <c r="R118" s="911"/>
      <c r="S118" s="1128"/>
      <c r="T118" s="913"/>
      <c r="U118" s="913"/>
      <c r="V118" s="913"/>
      <c r="W118" s="913"/>
      <c r="X118" s="913"/>
      <c r="Y118" s="959"/>
      <c r="Z118" s="959"/>
      <c r="AA118" s="959"/>
      <c r="AB118" s="963"/>
      <c r="AC118" s="50"/>
      <c r="AD118" s="50"/>
      <c r="AF118" s="50">
        <v>1</v>
      </c>
    </row>
    <row r="119" spans="1:70" s="51" customFormat="1" ht="20.25" customHeight="1">
      <c r="A119" s="780"/>
      <c r="J119" s="956"/>
      <c r="K119" s="912"/>
      <c r="L119" s="397"/>
      <c r="M119" s="397"/>
      <c r="N119" s="403"/>
      <c r="O119" s="910"/>
      <c r="P119" s="910"/>
      <c r="Q119" s="910"/>
      <c r="R119" s="911"/>
      <c r="S119" s="1128"/>
      <c r="T119" s="913"/>
      <c r="U119" s="913"/>
      <c r="V119" s="913"/>
      <c r="W119" s="913"/>
      <c r="X119" s="913"/>
      <c r="Y119" s="959"/>
      <c r="Z119" s="959"/>
      <c r="AA119" s="959"/>
      <c r="AB119" s="963"/>
      <c r="AC119" s="50"/>
      <c r="AD119" s="50"/>
      <c r="AF119" s="50">
        <v>1</v>
      </c>
    </row>
    <row r="120" spans="1:70" s="51" customFormat="1" ht="20.25" customHeight="1">
      <c r="A120" s="780"/>
      <c r="J120" s="956"/>
      <c r="K120" s="912"/>
      <c r="L120" s="397"/>
      <c r="M120" s="397"/>
      <c r="N120" s="403"/>
      <c r="O120" s="910"/>
      <c r="P120" s="910"/>
      <c r="Q120" s="910"/>
      <c r="R120" s="911"/>
      <c r="S120" s="1128"/>
      <c r="T120" s="913"/>
      <c r="U120" s="913"/>
      <c r="V120" s="913"/>
      <c r="W120" s="913"/>
      <c r="X120" s="913"/>
      <c r="Y120" s="959"/>
      <c r="Z120" s="959"/>
      <c r="AA120" s="959"/>
      <c r="AB120" s="963"/>
      <c r="AC120" s="50"/>
      <c r="AD120" s="50"/>
      <c r="AF120" s="50">
        <v>1</v>
      </c>
    </row>
    <row r="121" spans="1:70" s="51" customFormat="1" ht="20.25" hidden="1" customHeight="1">
      <c r="A121" s="780"/>
      <c r="J121" s="956"/>
      <c r="K121" s="912"/>
      <c r="L121" s="397"/>
      <c r="M121" s="397"/>
      <c r="N121" s="403"/>
      <c r="O121" s="910"/>
      <c r="P121" s="910"/>
      <c r="Q121" s="910"/>
      <c r="R121" s="911"/>
      <c r="S121" s="1128"/>
      <c r="T121" s="913"/>
      <c r="U121" s="913"/>
      <c r="V121" s="913"/>
      <c r="W121" s="913"/>
      <c r="X121" s="913"/>
      <c r="Y121" s="959"/>
      <c r="Z121" s="959"/>
      <c r="AA121" s="959"/>
      <c r="AB121" s="963"/>
      <c r="AC121" s="50"/>
      <c r="AD121" s="50"/>
      <c r="AF121" s="50">
        <v>1</v>
      </c>
    </row>
    <row r="122" spans="1:70" s="51" customFormat="1" ht="20.25" hidden="1" customHeight="1">
      <c r="A122" s="780"/>
      <c r="J122" s="956"/>
      <c r="K122" s="912"/>
      <c r="L122" s="397"/>
      <c r="M122" s="397"/>
      <c r="N122" s="403"/>
      <c r="O122" s="910"/>
      <c r="P122" s="910"/>
      <c r="Q122" s="910"/>
      <c r="R122" s="911"/>
      <c r="S122" s="1128"/>
      <c r="T122" s="913"/>
      <c r="U122" s="913"/>
      <c r="V122" s="913"/>
      <c r="W122" s="913"/>
      <c r="X122" s="913"/>
      <c r="Y122" s="959"/>
      <c r="Z122" s="959"/>
      <c r="AA122" s="959"/>
      <c r="AB122" s="963"/>
      <c r="AC122" s="50"/>
      <c r="AD122" s="50"/>
      <c r="AF122" s="50">
        <v>1</v>
      </c>
    </row>
    <row r="123" spans="1:70" s="51" customFormat="1" ht="20.25" hidden="1" customHeight="1">
      <c r="A123" s="780"/>
      <c r="J123" s="956"/>
      <c r="K123" s="912"/>
      <c r="L123" s="397"/>
      <c r="M123" s="397"/>
      <c r="N123" s="403"/>
      <c r="O123" s="910"/>
      <c r="P123" s="910"/>
      <c r="Q123" s="910"/>
      <c r="R123" s="911"/>
      <c r="S123" s="1128"/>
      <c r="T123" s="913"/>
      <c r="U123" s="913"/>
      <c r="V123" s="913"/>
      <c r="W123" s="913"/>
      <c r="X123" s="913"/>
      <c r="Y123" s="959"/>
      <c r="Z123" s="959"/>
      <c r="AA123" s="959"/>
      <c r="AB123" s="963"/>
      <c r="AC123" s="50"/>
      <c r="AD123" s="50"/>
      <c r="AF123" s="50">
        <v>1</v>
      </c>
    </row>
    <row r="124" spans="1:70" s="51" customFormat="1" ht="20.25" hidden="1" customHeight="1">
      <c r="A124" s="780"/>
      <c r="J124" s="956"/>
      <c r="K124" s="912"/>
      <c r="L124" s="397"/>
      <c r="M124" s="397"/>
      <c r="N124" s="403"/>
      <c r="O124" s="910"/>
      <c r="P124" s="910"/>
      <c r="Q124" s="910"/>
      <c r="R124" s="911"/>
      <c r="S124" s="1128"/>
      <c r="T124" s="913"/>
      <c r="U124" s="913"/>
      <c r="V124" s="913"/>
      <c r="W124" s="913"/>
      <c r="X124" s="913"/>
      <c r="Y124" s="959"/>
      <c r="Z124" s="959"/>
      <c r="AA124" s="959"/>
      <c r="AB124" s="963"/>
      <c r="AC124" s="50"/>
      <c r="AD124" s="50"/>
      <c r="AF124" s="50">
        <v>1</v>
      </c>
    </row>
    <row r="125" spans="1:70" s="51" customFormat="1" ht="20.25" hidden="1" customHeight="1">
      <c r="A125" s="780"/>
      <c r="J125" s="956"/>
      <c r="K125" s="912"/>
      <c r="L125" s="397"/>
      <c r="M125" s="397"/>
      <c r="N125" s="403"/>
      <c r="O125" s="910"/>
      <c r="P125" s="910"/>
      <c r="Q125" s="910"/>
      <c r="R125" s="911"/>
      <c r="S125" s="1128"/>
      <c r="T125" s="913"/>
      <c r="U125" s="913"/>
      <c r="V125" s="913"/>
      <c r="W125" s="913"/>
      <c r="X125" s="913"/>
      <c r="Y125" s="959"/>
      <c r="Z125" s="959"/>
      <c r="AA125" s="959"/>
      <c r="AB125" s="963"/>
      <c r="AC125" s="50"/>
      <c r="AD125" s="50"/>
      <c r="AF125" s="50">
        <v>1</v>
      </c>
    </row>
    <row r="126" spans="1:70" s="51" customFormat="1" ht="20.25" hidden="1" customHeight="1">
      <c r="A126" s="780"/>
      <c r="J126" s="956"/>
      <c r="K126" s="912"/>
      <c r="L126" s="397"/>
      <c r="M126" s="397"/>
      <c r="N126" s="403"/>
      <c r="O126" s="910"/>
      <c r="P126" s="910"/>
      <c r="Q126" s="910"/>
      <c r="R126" s="911"/>
      <c r="S126" s="1128"/>
      <c r="T126" s="913"/>
      <c r="U126" s="913"/>
      <c r="V126" s="913"/>
      <c r="W126" s="913"/>
      <c r="X126" s="913"/>
      <c r="Y126" s="959"/>
      <c r="Z126" s="959"/>
      <c r="AA126" s="959"/>
      <c r="AB126" s="963"/>
      <c r="AC126" s="50"/>
      <c r="AD126" s="50"/>
      <c r="AF126" s="50">
        <v>1</v>
      </c>
    </row>
    <row r="127" spans="1:70" s="51" customFormat="1" ht="20.25" hidden="1" customHeight="1">
      <c r="A127" s="780"/>
      <c r="J127" s="956"/>
      <c r="K127" s="912"/>
      <c r="L127" s="397"/>
      <c r="M127" s="397"/>
      <c r="N127" s="403"/>
      <c r="O127" s="910"/>
      <c r="P127" s="910"/>
      <c r="Q127" s="910"/>
      <c r="R127" s="911"/>
      <c r="S127" s="1128"/>
      <c r="T127" s="913"/>
      <c r="U127" s="913"/>
      <c r="V127" s="913"/>
      <c r="W127" s="913"/>
      <c r="X127" s="913"/>
      <c r="Y127" s="959"/>
      <c r="Z127" s="959"/>
      <c r="AA127" s="959"/>
      <c r="AB127" s="963"/>
      <c r="AC127" s="50"/>
      <c r="AD127" s="50"/>
      <c r="AF127" s="50">
        <v>1</v>
      </c>
    </row>
    <row r="128" spans="1:70" s="51" customFormat="1" ht="20.25" hidden="1" customHeight="1">
      <c r="A128" s="780"/>
      <c r="J128" s="956"/>
      <c r="K128" s="912"/>
      <c r="L128" s="397"/>
      <c r="M128" s="397"/>
      <c r="N128" s="403"/>
      <c r="O128" s="910"/>
      <c r="P128" s="910"/>
      <c r="Q128" s="910"/>
      <c r="R128" s="911"/>
      <c r="S128" s="1128"/>
      <c r="T128" s="913"/>
      <c r="U128" s="913"/>
      <c r="V128" s="913"/>
      <c r="W128" s="913"/>
      <c r="X128" s="913"/>
      <c r="Y128" s="959"/>
      <c r="Z128" s="959"/>
      <c r="AA128" s="959"/>
      <c r="AB128" s="963"/>
      <c r="AC128" s="50"/>
      <c r="AD128" s="50"/>
      <c r="AF128" s="50">
        <v>1</v>
      </c>
    </row>
    <row r="129" spans="1:32" s="51" customFormat="1" ht="20.25" hidden="1" customHeight="1">
      <c r="A129" s="780"/>
      <c r="J129" s="956"/>
      <c r="K129" s="912"/>
      <c r="L129" s="397"/>
      <c r="M129" s="397"/>
      <c r="N129" s="403"/>
      <c r="O129" s="910"/>
      <c r="P129" s="910"/>
      <c r="Q129" s="910"/>
      <c r="R129" s="911"/>
      <c r="S129" s="1128"/>
      <c r="T129" s="913"/>
      <c r="U129" s="913"/>
      <c r="V129" s="913"/>
      <c r="W129" s="913"/>
      <c r="X129" s="913"/>
      <c r="Y129" s="959"/>
      <c r="Z129" s="959"/>
      <c r="AA129" s="959"/>
      <c r="AB129" s="963"/>
      <c r="AC129" s="50"/>
      <c r="AD129" s="50"/>
      <c r="AF129" s="50">
        <v>1</v>
      </c>
    </row>
    <row r="130" spans="1:32" s="51" customFormat="1" ht="20.25" hidden="1" customHeight="1">
      <c r="A130" s="780"/>
      <c r="J130" s="956"/>
      <c r="K130" s="912"/>
      <c r="L130" s="397"/>
      <c r="M130" s="397"/>
      <c r="N130" s="403"/>
      <c r="O130" s="910"/>
      <c r="P130" s="910"/>
      <c r="Q130" s="910"/>
      <c r="R130" s="911"/>
      <c r="S130" s="1128"/>
      <c r="T130" s="913"/>
      <c r="U130" s="913"/>
      <c r="V130" s="913"/>
      <c r="W130" s="913"/>
      <c r="X130" s="913"/>
      <c r="Y130" s="959"/>
      <c r="Z130" s="959"/>
      <c r="AA130" s="959"/>
      <c r="AB130" s="963"/>
      <c r="AC130" s="50"/>
      <c r="AD130" s="50"/>
      <c r="AF130" s="50">
        <v>1</v>
      </c>
    </row>
    <row r="131" spans="1:32" s="51" customFormat="1" ht="20.25" hidden="1" customHeight="1">
      <c r="A131" s="780"/>
      <c r="J131" s="956"/>
      <c r="K131" s="912"/>
      <c r="L131" s="397"/>
      <c r="M131" s="397"/>
      <c r="N131" s="403"/>
      <c r="O131" s="910"/>
      <c r="P131" s="910"/>
      <c r="Q131" s="910"/>
      <c r="R131" s="911"/>
      <c r="S131" s="1128"/>
      <c r="T131" s="913"/>
      <c r="U131" s="913"/>
      <c r="V131" s="913"/>
      <c r="W131" s="913"/>
      <c r="X131" s="913"/>
      <c r="Y131" s="959"/>
      <c r="Z131" s="959"/>
      <c r="AA131" s="959"/>
      <c r="AB131" s="963"/>
      <c r="AC131" s="50"/>
      <c r="AD131" s="50"/>
      <c r="AF131" s="50">
        <v>1</v>
      </c>
    </row>
    <row r="132" spans="1:32" s="51" customFormat="1" ht="20.25" hidden="1" customHeight="1">
      <c r="A132" s="780"/>
      <c r="J132" s="956"/>
      <c r="K132" s="912"/>
      <c r="L132" s="397"/>
      <c r="M132" s="397"/>
      <c r="N132" s="403"/>
      <c r="O132" s="910"/>
      <c r="P132" s="910"/>
      <c r="Q132" s="910"/>
      <c r="R132" s="911"/>
      <c r="S132" s="1128"/>
      <c r="T132" s="913"/>
      <c r="U132" s="913"/>
      <c r="V132" s="913"/>
      <c r="W132" s="913"/>
      <c r="X132" s="913"/>
      <c r="Y132" s="959"/>
      <c r="Z132" s="959"/>
      <c r="AA132" s="959"/>
      <c r="AB132" s="963"/>
      <c r="AC132" s="50"/>
      <c r="AD132" s="50"/>
      <c r="AF132" s="50">
        <v>1</v>
      </c>
    </row>
    <row r="133" spans="1:32" s="51" customFormat="1" ht="20.25" hidden="1" customHeight="1">
      <c r="A133" s="780"/>
      <c r="J133" s="956"/>
      <c r="K133" s="912"/>
      <c r="L133" s="397"/>
      <c r="M133" s="397"/>
      <c r="N133" s="403"/>
      <c r="O133" s="910"/>
      <c r="P133" s="910"/>
      <c r="Q133" s="910"/>
      <c r="R133" s="911"/>
      <c r="S133" s="1128"/>
      <c r="T133" s="913"/>
      <c r="U133" s="913"/>
      <c r="V133" s="913"/>
      <c r="W133" s="913"/>
      <c r="X133" s="913"/>
      <c r="Y133" s="959"/>
      <c r="Z133" s="959"/>
      <c r="AA133" s="959"/>
      <c r="AB133" s="963"/>
      <c r="AC133" s="50"/>
      <c r="AD133" s="50"/>
      <c r="AF133" s="50">
        <v>1</v>
      </c>
    </row>
    <row r="134" spans="1:32" s="51" customFormat="1" ht="20.25" hidden="1" customHeight="1">
      <c r="A134" s="780"/>
      <c r="J134" s="956"/>
      <c r="K134" s="912"/>
      <c r="L134" s="397"/>
      <c r="M134" s="397"/>
      <c r="N134" s="403"/>
      <c r="O134" s="910"/>
      <c r="P134" s="910"/>
      <c r="Q134" s="910"/>
      <c r="R134" s="911"/>
      <c r="S134" s="1128"/>
      <c r="T134" s="913"/>
      <c r="U134" s="913"/>
      <c r="V134" s="913"/>
      <c r="W134" s="913"/>
      <c r="X134" s="913"/>
      <c r="Y134" s="959"/>
      <c r="Z134" s="959"/>
      <c r="AA134" s="959"/>
      <c r="AB134" s="963"/>
      <c r="AC134" s="50"/>
      <c r="AD134" s="50"/>
      <c r="AF134" s="50">
        <v>1</v>
      </c>
    </row>
    <row r="135" spans="1:32" s="51" customFormat="1" ht="20.25" hidden="1" customHeight="1">
      <c r="A135" s="780" t="e">
        <f ca="1">IF(SUM(A137:C137)=0,0,
IF(MATCH(1,A137:C137,0)=1,A136,
IF(MATCH(1,A137:C137,0)=2,B136,
IF(MATCH(1,A137:C137,0)=3,C136))))</f>
        <v>#NAME?</v>
      </c>
      <c r="J135" s="956"/>
      <c r="K135" s="912"/>
      <c r="L135" s="397"/>
      <c r="M135" s="397"/>
      <c r="N135" s="403"/>
      <c r="O135" s="910"/>
      <c r="P135" s="910"/>
      <c r="Q135" s="910"/>
      <c r="R135" s="911"/>
      <c r="S135" s="1128"/>
      <c r="T135" s="913"/>
      <c r="U135" s="913"/>
      <c r="V135" s="913"/>
      <c r="W135" s="913"/>
      <c r="X135" s="913"/>
      <c r="Y135" s="959"/>
      <c r="Z135" s="959"/>
      <c r="AA135" s="959"/>
      <c r="AB135" s="963"/>
      <c r="AC135" s="50"/>
      <c r="AD135" s="50"/>
      <c r="AF135" s="50">
        <v>1</v>
      </c>
    </row>
    <row r="136" spans="1:32" s="51" customFormat="1" ht="20.25" hidden="1" customHeight="1">
      <c r="A136" s="959" t="s">
        <v>902</v>
      </c>
      <c r="B136" s="959" t="s">
        <v>898</v>
      </c>
      <c r="C136" s="959" t="s">
        <v>899</v>
      </c>
      <c r="D136" s="959" t="s">
        <v>902</v>
      </c>
      <c r="E136" s="959" t="s">
        <v>898</v>
      </c>
      <c r="F136" s="959" t="s">
        <v>899</v>
      </c>
      <c r="G136" s="959" t="s">
        <v>902</v>
      </c>
      <c r="H136" s="959" t="s">
        <v>898</v>
      </c>
      <c r="I136" s="959" t="s">
        <v>899</v>
      </c>
      <c r="J136" s="956"/>
      <c r="K136" s="912"/>
      <c r="L136" s="397"/>
      <c r="M136" s="397"/>
      <c r="N136" s="403"/>
      <c r="O136" s="910"/>
      <c r="P136" s="910"/>
      <c r="Q136" s="910"/>
      <c r="R136" s="911"/>
      <c r="S136" s="1128"/>
      <c r="Y136" s="959"/>
      <c r="Z136" s="959"/>
      <c r="AA136" s="959"/>
      <c r="AB136" s="963"/>
      <c r="AC136" s="50"/>
      <c r="AD136" s="50"/>
      <c r="AF136" s="50">
        <v>1</v>
      </c>
    </row>
    <row r="137" spans="1:32" s="51" customFormat="1" ht="31.5" customHeight="1" thickBot="1">
      <c r="A137" s="978" t="e">
        <f ca="1">IF(OR(
_xlfn.AGGREGATE(1,5,A139:A238)=1,
_xlfn.AGGREGATE(1,5,A139:A238)=0),1,0)</f>
        <v>#NAME?</v>
      </c>
      <c r="B137" s="976" t="e">
        <f ca="1">IF(OR(
_xlfn.AGGREGATE(1,5,B139:B238)=1,
_xlfn.AGGREGATE(1,5,B139:B238)=0),1,0)</f>
        <v>#NAME?</v>
      </c>
      <c r="C137" s="976" t="e">
        <f ca="1">IF(OR(
_xlfn.AGGREGATE(1,5,C139:C238)=1,
_xlfn.AGGREGATE(1,5,C139:C238)=0),1,0)</f>
        <v>#NAME?</v>
      </c>
      <c r="D137" s="976"/>
      <c r="E137" s="976"/>
      <c r="F137" s="976"/>
      <c r="G137" s="975"/>
      <c r="H137" s="975"/>
      <c r="I137" s="975"/>
      <c r="J137" s="1479" t="s">
        <v>913</v>
      </c>
      <c r="K137" s="1479"/>
      <c r="L137" s="1479"/>
      <c r="M137" s="1479"/>
      <c r="N137" s="1479"/>
      <c r="O137" s="1479"/>
      <c r="P137" s="1479"/>
      <c r="Q137" s="1479"/>
      <c r="R137" s="1480"/>
      <c r="S137" s="1128"/>
      <c r="Y137" s="959"/>
      <c r="Z137" s="959"/>
      <c r="AA137" s="959"/>
      <c r="AB137" s="963"/>
      <c r="AC137" s="50"/>
      <c r="AD137" s="50"/>
      <c r="AF137" s="50">
        <v>1</v>
      </c>
    </row>
    <row r="138" spans="1:32" s="51" customFormat="1" ht="31.5" customHeight="1" thickBot="1">
      <c r="A138" s="974" t="s">
        <v>6</v>
      </c>
      <c r="B138" s="974" t="s">
        <v>7</v>
      </c>
      <c r="C138" s="974" t="s">
        <v>8</v>
      </c>
      <c r="D138" s="974" t="s">
        <v>917</v>
      </c>
      <c r="E138" s="974" t="s">
        <v>918</v>
      </c>
      <c r="F138" s="974" t="s">
        <v>919</v>
      </c>
      <c r="G138" s="974" t="s">
        <v>9</v>
      </c>
      <c r="H138" s="974" t="s">
        <v>10</v>
      </c>
      <c r="I138" s="974" t="s">
        <v>417</v>
      </c>
      <c r="J138" s="943" t="s">
        <v>929</v>
      </c>
      <c r="K138" s="1283" t="s">
        <v>897</v>
      </c>
      <c r="L138" s="1284" t="s">
        <v>902</v>
      </c>
      <c r="M138" s="1284" t="s">
        <v>898</v>
      </c>
      <c r="N138" s="1284" t="s">
        <v>899</v>
      </c>
      <c r="O138" s="1339" t="s">
        <v>901</v>
      </c>
      <c r="P138" s="1348" t="s">
        <v>1092</v>
      </c>
      <c r="Q138" s="1388" t="s">
        <v>1110</v>
      </c>
      <c r="R138" s="946" t="s">
        <v>900</v>
      </c>
      <c r="S138" s="1128"/>
      <c r="Y138" s="959"/>
      <c r="Z138" s="959"/>
      <c r="AA138" s="959"/>
      <c r="AB138" s="963"/>
      <c r="AC138" s="50"/>
      <c r="AD138" s="50"/>
      <c r="AF138" s="50">
        <v>1</v>
      </c>
    </row>
    <row r="139" spans="1:32" ht="20.25" customHeight="1" thickBot="1">
      <c r="A139" s="972">
        <f>IF(Расходы_4[[#This Row],[КВР]]&gt;=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IF(SUBTOTAL(109,L129)&gt;0,SUBTOTAL(109,L129),
IF(SUBTOTAL(109,L128)&gt;0,SUBTOTAL(109,L128),
IF(SUBTOTAL(109,L127)&gt;0,SUBTOTAL(109,L127),
IF(SUBTOTAL(109,L126)&gt;0,SUBTOTAL(109,L126),
))))))))))))),1,0)</f>
        <v>1</v>
      </c>
      <c r="B139" s="972">
        <f>IF(AND(Расходы_4[[#This Row],[КЦ]]="14561Э",M138="14561Т"),1,
IF(Расходы_4[[#This Row],[КЦ]]&gt;=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IF(SUBTOTAL(109,M129)&gt;0,SUBTOTAL(109,M129),
IF(SUBTOTAL(109,M128)&gt;0,SUBTOTAL(109,M128),
IF(SUBTOTAL(109,M127)&gt;0,SUBTOTAL(109,M127),
IF(SUBTOTAL(109,M126)&gt;0,SUBTOTAL(109,M126),
))))))))))))),1,0))</f>
        <v>1</v>
      </c>
      <c r="C139" s="972">
        <f>IF(Расходы_4[[#This Row],[КОСГУ]]&gt;=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IF(SUBTOTAL(109,N129)&gt;0,SUBTOTAL(109,N129),
IF(SUBTOTAL(109,N128)&gt;0,SUBTOTAL(109,N128),
IF(SUBTOTAL(109,N127)&gt;0,SUBTOTAL(109,N127),
IF(SUBTOTAL(109,N126)&gt;0,SUBTOTAL(109,N126),
))))))))))))),1,0)</f>
        <v>1</v>
      </c>
      <c r="D139" s="972">
        <f>IF(Расходы_4[[#This Row],[КВР]]&gt;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IF(SUBTOTAL(109,L129)&gt;0,SUBTOTAL(109,L129),
IF(SUBTOTAL(109,L128)&gt;0,SUBTOTAL(109,L128),
IF(SUBTOTAL(109,L127)&gt;0,SUBTOTAL(109,L127),
IF(SUBTOTAL(109,L126)&gt;0,SUBTOTAL(109,L126),
))))))))))))),1,0)</f>
        <v>1</v>
      </c>
      <c r="E139" s="1150">
        <f>IF(AND(Расходы_4[[#This Row],[КЦ]]="14561Э",M138="14561Т"),1,
IF(Расходы_4[[#This Row],[КЦ]]&gt;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IF(SUBTOTAL(109,M129)&gt;0,SUBTOTAL(109,M129),
IF(SUBTOTAL(109,M128)&gt;0,SUBTOTAL(109,M128),
IF(SUBTOTAL(109,M127)&gt;0,SUBTOTAL(109,M127),
IF(SUBTOTAL(109,M126)&gt;0,SUBTOTAL(109,M126),
))))))))))))),1,0))</f>
        <v>1</v>
      </c>
      <c r="F139" s="972">
        <f>IF(Расходы_4[[#This Row],[КОСГУ]]&gt;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IF(SUBTOTAL(109,N129)&gt;0,SUBTOTAL(109,N129),
IF(SUBTOTAL(109,N128)&gt;0,SUBTOTAL(109,N128),
IF(SUBTOTAL(109,N127)&gt;0,SUBTOTAL(109,N127),
IF(SUBTOTAL(109,N126)&gt;0,SUBTOTAL(109,N126),
))))))))))))),1,0)</f>
        <v>1</v>
      </c>
      <c r="G139" s="972" t="e">
        <f ca="1">_xlfn.AGGREGATE(9,5,$D$139:D139)</f>
        <v>#NAME?</v>
      </c>
      <c r="H139" s="972" t="e">
        <f ca="1">_xlfn.AGGREGATE(9,5,$E$139:E139)</f>
        <v>#NAME?</v>
      </c>
      <c r="I139" s="972" t="e">
        <f ca="1">_xlfn.AGGREGATE(9,5,$F$139:F139)</f>
        <v>#NAME?</v>
      </c>
      <c r="J139" s="1336" t="str">
        <f>IF(SUM(Расходы_4[[#This Row],[2 025]:[2 027]])=0,"000",".")</f>
        <v>.</v>
      </c>
      <c r="K139" s="1337">
        <v>4</v>
      </c>
      <c r="L139" s="1269">
        <v>111</v>
      </c>
      <c r="M139" s="1269">
        <v>11561</v>
      </c>
      <c r="N139" s="1338">
        <v>211</v>
      </c>
      <c r="O139" s="1340">
        <f>4577700+103982284+129420+397647+6206820+5822+279180+13439.61-287086.35+287086.35</f>
        <v>115592312.61</v>
      </c>
      <c r="P139" s="1340">
        <f>4577700+103982284+129420+400545+6206820+5822+279180-26</f>
        <v>115581745</v>
      </c>
      <c r="Q139" s="1389">
        <f>4577700+103982284+129420+400545+6206820+5822+279180-26</f>
        <v>115581745</v>
      </c>
      <c r="R139" s="1281" t="s">
        <v>278</v>
      </c>
      <c r="S139" s="1128"/>
      <c r="T139" s="1451">
        <f>O69+Расходы_4[[#This Row],[2 025]]+O261</f>
        <v>117297470.79000001</v>
      </c>
      <c r="U139" s="1451"/>
      <c r="Y139" s="959"/>
      <c r="Z139" s="959"/>
      <c r="AA139" s="959"/>
      <c r="AB139" s="963"/>
      <c r="AE139" s="50">
        <f>COUNT(102,$AF$115:AF115)-1</f>
        <v>1</v>
      </c>
      <c r="AF139" s="50">
        <v>1</v>
      </c>
    </row>
    <row r="140" spans="1:32" ht="20.25" customHeight="1">
      <c r="A140" s="971">
        <f>IF(Расходы_4[[#This Row],[КВР]]&gt;=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IF(SUBTOTAL(109,L129)&gt;0,SUBTOTAL(109,L129),
IF(SUBTOTAL(109,L128)&gt;0,SUBTOTAL(109,L128),
IF(SUBTOTAL(109,L127)&gt;0,SUBTOTAL(109,L127),
))))))))))))),1,0)</f>
        <v>1</v>
      </c>
      <c r="B140" s="971">
        <f>IF(AND(Расходы_4[[#This Row],[КЦ]]="14561Э",M139="14561Т"),1,
IF(Расходы_4[[#This Row],[КЦ]]&gt;=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IF(SUBTOTAL(109,M129)&gt;0,SUBTOTAL(109,M129),
IF(SUBTOTAL(109,M128)&gt;0,SUBTOTAL(109,M128),
IF(SUBTOTAL(109,M127)&gt;0,SUBTOTAL(109,M127),
))))))))))))),1,0))</f>
        <v>1</v>
      </c>
      <c r="C140" s="971">
        <f>IF(Расходы_4[[#This Row],[КОСГУ]]&gt;=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IF(SUBTOTAL(109,N129)&gt;0,SUBTOTAL(109,N129),
IF(SUBTOTAL(109,N128)&gt;0,SUBTOTAL(109,N128),
IF(SUBTOTAL(109,N127)&gt;0,SUBTOTAL(109,N127),
))))))))))))),1,0)</f>
        <v>1</v>
      </c>
      <c r="D140" s="971">
        <f>IF(Расходы_4[[#This Row],[КВР]]&gt;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IF(SUBTOTAL(109,L129)&gt;0,SUBTOTAL(109,L129),
IF(SUBTOTAL(109,L128)&gt;0,SUBTOTAL(109,L128),
IF(SUBTOTAL(109,L127)&gt;0,SUBTOTAL(109,L127),
))))))))))))),1,0)</f>
        <v>0</v>
      </c>
      <c r="E140" s="971">
        <f>IF(AND(Расходы_4[[#This Row],[КЦ]]="14561Э",M139="14561Т"),1,
IF(Расходы_4[[#This Row],[КЦ]]&gt;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IF(SUBTOTAL(109,M129)&gt;0,SUBTOTAL(109,M129),
IF(SUBTOTAL(109,M128)&gt;0,SUBTOTAL(109,M128),
IF(SUBTOTAL(109,M127)&gt;0,SUBTOTAL(109,M127),
))))))))))))),1,0))</f>
        <v>0</v>
      </c>
      <c r="F140" s="971">
        <f>IF(Расходы_4[[#This Row],[КОСГУ]]&gt;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IF(SUBTOTAL(109,N129)&gt;0,SUBTOTAL(109,N129),
IF(SUBTOTAL(109,N128)&gt;0,SUBTOTAL(109,N128),
IF(SUBTOTAL(109,N127)&gt;0,SUBTOTAL(109,N127),
))))))))))))),1,0)</f>
        <v>1</v>
      </c>
      <c r="G140" s="971" t="e">
        <f ca="1">_xlfn.AGGREGATE(9,5,$D$139:D140)</f>
        <v>#NAME?</v>
      </c>
      <c r="H140" s="971" t="e">
        <f ca="1">_xlfn.AGGREGATE(9,5,$E$139:E140)</f>
        <v>#NAME?</v>
      </c>
      <c r="I140" s="971" t="e">
        <f ca="1">_xlfn.AGGREGATE(9,5,$F$139:F140)</f>
        <v>#NAME?</v>
      </c>
      <c r="J140" s="968" t="str">
        <f>IF(SUM(Расходы_4[[#This Row],[2 025]:[2 027]])=0,"000",".")</f>
        <v>000</v>
      </c>
      <c r="K140" s="1287">
        <v>4</v>
      </c>
      <c r="L140" s="1266">
        <v>111</v>
      </c>
      <c r="M140" s="1266">
        <v>11561</v>
      </c>
      <c r="N140" s="1266">
        <v>266</v>
      </c>
      <c r="O140" s="1341"/>
      <c r="P140" s="1375"/>
      <c r="Q140" s="1349"/>
      <c r="R140" s="1281" t="s">
        <v>279</v>
      </c>
      <c r="S140" s="1128"/>
      <c r="Y140" s="959"/>
      <c r="Z140" s="959"/>
      <c r="AA140" s="959"/>
      <c r="AB140" s="963"/>
      <c r="AE140" s="50">
        <f>COUNT(102,$AF$115:AF116)-1</f>
        <v>2</v>
      </c>
      <c r="AF140" s="50">
        <v>1</v>
      </c>
    </row>
    <row r="141" spans="1:32" ht="20.25" customHeight="1">
      <c r="A141" s="971">
        <f>IF(Расходы_4[[#This Row],[КВР]]&gt;=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IF(SUBTOTAL(109,L129)&gt;0,SUBTOTAL(109,L129),
IF(SUBTOTAL(109,L128)&gt;0,SUBTOTAL(109,L128),
))))))))))))),1,0)</f>
        <v>1</v>
      </c>
      <c r="B141" s="971">
        <f>IF(AND(Расходы_4[[#This Row],[КЦ]]="14561Э",M140="14561Т"),1,
IF(Расходы_4[[#This Row],[КЦ]]&gt;=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IF(SUBTOTAL(109,M129)&gt;0,SUBTOTAL(109,M129),
IF(SUBTOTAL(109,M128)&gt;0,SUBTOTAL(109,M128),
))))))))))))),1,0))</f>
        <v>1</v>
      </c>
      <c r="C141" s="971">
        <f>IF(Расходы_4[[#This Row],[КОСГУ]]&gt;=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IF(SUBTOTAL(109,N129)&gt;0,SUBTOTAL(109,N129),
IF(SUBTOTAL(109,N128)&gt;0,SUBTOTAL(109,N128),
))))))))))))),1,0)</f>
        <v>0</v>
      </c>
      <c r="D141" s="971">
        <f>IF(Расходы_4[[#This Row],[КВР]]&gt;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IF(SUBTOTAL(109,L129)&gt;0,SUBTOTAL(109,L129),
IF(SUBTOTAL(109,L128)&gt;0,SUBTOTAL(109,L128),
))))))))))))),1,0)</f>
        <v>1</v>
      </c>
      <c r="E141" s="971">
        <f>IF(AND(Расходы_4[[#This Row],[КЦ]]="14561Э",M140="14561Т"),1,
IF(Расходы_4[[#This Row],[КЦ]]&gt;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IF(SUBTOTAL(109,M129)&gt;0,SUBTOTAL(109,M129),
IF(SUBTOTAL(109,M128)&gt;0,SUBTOTAL(109,M128),
))))))))))))),1,0))</f>
        <v>1</v>
      </c>
      <c r="F141" s="971">
        <f>IF(Расходы_4[[#This Row],[КОСГУ]]&gt;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IF(SUBTOTAL(109,N129)&gt;0,SUBTOTAL(109,N129),
IF(SUBTOTAL(109,N128)&gt;0,SUBTOTAL(109,N128),
))))))))))))),1,0)</f>
        <v>0</v>
      </c>
      <c r="G141" s="971" t="e">
        <f ca="1">_xlfn.AGGREGATE(9,5,$D$139:D141)</f>
        <v>#NAME?</v>
      </c>
      <c r="H141" s="971" t="e">
        <f ca="1">_xlfn.AGGREGATE(9,5,$E$139:E141)</f>
        <v>#NAME?</v>
      </c>
      <c r="I141" s="971" t="e">
        <f ca="1">_xlfn.AGGREGATE(9,5,$F$139:F141)</f>
        <v>#NAME?</v>
      </c>
      <c r="J141" s="968" t="str">
        <f>IF(SUM(Расходы_4[[#This Row],[2 025]:[2 027]])=0,"000",".")</f>
        <v>000</v>
      </c>
      <c r="K141" s="965">
        <v>4</v>
      </c>
      <c r="L141" s="908">
        <v>112</v>
      </c>
      <c r="M141" s="908">
        <v>16561</v>
      </c>
      <c r="N141" s="908">
        <v>212</v>
      </c>
      <c r="O141" s="1341"/>
      <c r="P141" s="1375"/>
      <c r="Q141" s="1349"/>
      <c r="R141" s="1281" t="s">
        <v>234</v>
      </c>
      <c r="S141" s="1128"/>
      <c r="Y141" s="959"/>
      <c r="Z141" s="959"/>
      <c r="AA141" s="959"/>
      <c r="AB141" s="963"/>
      <c r="AE141" s="50">
        <f>COUNT(102,$AF$115:AF117)-1</f>
        <v>3</v>
      </c>
      <c r="AF141" s="50">
        <v>1</v>
      </c>
    </row>
    <row r="142" spans="1:32" ht="20.25" customHeight="1">
      <c r="A142" s="971">
        <f>IF(Расходы_4[[#This Row],[КВР]]&gt;=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IF(SUBTOTAL(109,L129)&gt;0,SUBTOTAL(109,L129),
))))))))))))),1,0)</f>
        <v>1</v>
      </c>
      <c r="B142" s="971">
        <f>IF(AND(Расходы_4[[#This Row],[КЦ]]="14561Э",M141="14561Т"),1,
IF(Расходы_4[[#This Row],[КЦ]]&gt;=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IF(SUBTOTAL(109,M129)&gt;0,SUBTOTAL(109,M129),
))))))))))))),1,0))</f>
        <v>1</v>
      </c>
      <c r="C142" s="971">
        <f>IF(Расходы_4[[#This Row],[КОСГУ]]&gt;=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IF(SUBTOTAL(109,N129)&gt;0,SUBTOTAL(109,N129),
))))))))))))),1,0)</f>
        <v>1</v>
      </c>
      <c r="D142" s="971">
        <f>IF(Расходы_4[[#This Row],[КВР]]&gt;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IF(SUBTOTAL(109,L129)&gt;0,SUBTOTAL(109,L129),
))))))))))))),1,0)</f>
        <v>0</v>
      </c>
      <c r="E142" s="971">
        <f>IF(AND(Расходы_4[[#This Row],[КЦ]]="14561Э",M141="14561Т"),1,
IF(Расходы_4[[#This Row],[КЦ]]&gt;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IF(SUBTOTAL(109,M129)&gt;0,SUBTOTAL(109,M129),
))))))))))))),1,0))</f>
        <v>0</v>
      </c>
      <c r="F142" s="971">
        <f>IF(Расходы_4[[#This Row],[КОСГУ]]&gt;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IF(SUBTOTAL(109,N129)&gt;0,SUBTOTAL(109,N129),
))))))))))))),1,0)</f>
        <v>0</v>
      </c>
      <c r="G142" s="971" t="e">
        <f ca="1">_xlfn.AGGREGATE(9,5,$D$139:D142)</f>
        <v>#NAME?</v>
      </c>
      <c r="H142" s="971" t="e">
        <f ca="1">_xlfn.AGGREGATE(9,5,$E$139:E142)</f>
        <v>#NAME?</v>
      </c>
      <c r="I142" s="971" t="e">
        <f ca="1">_xlfn.AGGREGATE(9,5,$F$139:F142)</f>
        <v>#NAME?</v>
      </c>
      <c r="J142" s="968" t="str">
        <f>IF(SUM(Расходы_4[[#This Row],[2 025]:[2 027]])=0,"000",".")</f>
        <v>000</v>
      </c>
      <c r="K142" s="965">
        <v>4</v>
      </c>
      <c r="L142" s="908">
        <v>112</v>
      </c>
      <c r="M142" s="908">
        <v>16561</v>
      </c>
      <c r="N142" s="908">
        <v>212</v>
      </c>
      <c r="O142" s="1341"/>
      <c r="P142" s="1375"/>
      <c r="Q142" s="1349"/>
      <c r="R142" s="1281" t="s">
        <v>267</v>
      </c>
      <c r="S142" s="1128"/>
      <c r="Y142" s="959"/>
      <c r="Z142" s="959"/>
      <c r="AA142" s="959"/>
      <c r="AB142" s="963"/>
      <c r="AE142" s="50">
        <f>COUNT(102,$AF$115:AF118)-1</f>
        <v>4</v>
      </c>
      <c r="AF142" s="50">
        <v>1</v>
      </c>
    </row>
    <row r="143" spans="1:32" ht="20.25" customHeight="1">
      <c r="A143" s="971">
        <f>IF(Расходы_4[[#This Row],[КВР]]&gt;=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))))))))))))),1,0)</f>
        <v>1</v>
      </c>
      <c r="B143" s="971">
        <f>IF(AND(Расходы_4[[#This Row],[КЦ]]="14561Э",M142="14561Т"),1,
IF(Расходы_4[[#This Row],[КЦ]]&gt;=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))))))))))))),1,0))</f>
        <v>1</v>
      </c>
      <c r="C143" s="971">
        <f>IF(Расходы_4[[#This Row],[КОСГУ]]&gt;=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))))))))))))),1,0)</f>
        <v>1</v>
      </c>
      <c r="D143" s="971">
        <f>IF(Расходы_4[[#This Row],[КВР]]&gt;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IF(SUBTOTAL(109,L130)&gt;0,SUBTOTAL(109,L130),
))))))))))))),1,0)</f>
        <v>0</v>
      </c>
      <c r="E143" s="971">
        <f>IF(AND(Расходы_4[[#This Row],[КЦ]]="14561Э",M142="14561Т"),1,
IF(Расходы_4[[#This Row],[КЦ]]&gt;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IF(SUBTOTAL(109,M130)&gt;0,SUBTOTAL(109,M130),
))))))))))))),1,0))</f>
        <v>0</v>
      </c>
      <c r="F143" s="971">
        <f>IF(Расходы_4[[#This Row],[КОСГУ]]&gt;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IF(SUBTOTAL(109,N130)&gt;0,SUBTOTAL(109,N130),
))))))))))))),1,0)</f>
        <v>1</v>
      </c>
      <c r="G143" s="971" t="e">
        <f ca="1">_xlfn.AGGREGATE(9,5,$D$139:D143)</f>
        <v>#NAME?</v>
      </c>
      <c r="H143" s="971" t="e">
        <f ca="1">_xlfn.AGGREGATE(9,5,$E$139:E143)</f>
        <v>#NAME?</v>
      </c>
      <c r="I143" s="971" t="e">
        <f ca="1">_xlfn.AGGREGATE(9,5,$F$139:F143)</f>
        <v>#NAME?</v>
      </c>
      <c r="J143" s="968" t="str">
        <f>IF(SUM(Расходы_4[[#This Row],[2 025]:[2 027]])=0,"000",".")</f>
        <v>000</v>
      </c>
      <c r="K143" s="965">
        <v>4</v>
      </c>
      <c r="L143" s="908">
        <v>112</v>
      </c>
      <c r="M143" s="908">
        <v>16561</v>
      </c>
      <c r="N143" s="908">
        <v>226</v>
      </c>
      <c r="O143" s="1341"/>
      <c r="P143" s="1375"/>
      <c r="Q143" s="1349"/>
      <c r="R143" s="1281" t="s">
        <v>235</v>
      </c>
      <c r="S143" s="1128"/>
      <c r="Y143" s="959"/>
      <c r="Z143" s="959"/>
      <c r="AA143" s="959"/>
      <c r="AB143" s="963"/>
      <c r="AE143" s="50">
        <f>COUNT(102,$AF$115:AF119)-1</f>
        <v>5</v>
      </c>
      <c r="AF143" s="50">
        <v>1</v>
      </c>
    </row>
    <row r="144" spans="1:32" ht="20.25" customHeight="1">
      <c r="A144" s="971">
        <f>IF(Расходы_4[[#This Row],[КВР]]&gt;=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))))))))))))),1,0)</f>
        <v>1</v>
      </c>
      <c r="B144" s="971">
        <f>IF(AND(Расходы_4[[#This Row],[КЦ]]="14561Э",M143="14561Т"),1,
IF(Расходы_4[[#This Row],[КЦ]]&gt;=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))))))))))))),1,0))</f>
        <v>1</v>
      </c>
      <c r="C144" s="971">
        <f>IF(Расходы_4[[#This Row],[КОСГУ]]&gt;=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))))))))))))),1,0)</f>
        <v>1</v>
      </c>
      <c r="D144" s="971">
        <f>IF(Расходы_4[[#This Row],[КВР]]&gt;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IF(SUBTOTAL(109,L131)&gt;0,SUBTOTAL(109,L131),
))))))))))))),1,0)</f>
        <v>0</v>
      </c>
      <c r="E144" s="971">
        <f>IF(AND(Расходы_4[[#This Row],[КЦ]]="14561Э",M143="14561Т"),1,
IF(Расходы_4[[#This Row],[КЦ]]&gt;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IF(SUBTOTAL(109,M131)&gt;0,SUBTOTAL(109,M131),
))))))))))))),1,0))</f>
        <v>0</v>
      </c>
      <c r="F144" s="971">
        <f>IF(Расходы_4[[#This Row],[КОСГУ]]&gt;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IF(SUBTOTAL(109,N131)&gt;0,SUBTOTAL(109,N131),
))))))))))))),1,0)</f>
        <v>0</v>
      </c>
      <c r="G144" s="971" t="e">
        <f ca="1">_xlfn.AGGREGATE(9,5,$D$139:D144)</f>
        <v>#NAME?</v>
      </c>
      <c r="H144" s="971" t="e">
        <f ca="1">_xlfn.AGGREGATE(9,5,$E$139:E144)</f>
        <v>#NAME?</v>
      </c>
      <c r="I144" s="971" t="e">
        <f ca="1">_xlfn.AGGREGATE(9,5,$F$139:F144)</f>
        <v>#NAME?</v>
      </c>
      <c r="J144" s="968" t="str">
        <f>IF(SUM(Расходы_4[[#This Row],[2 025]:[2 027]])=0,"000",".")</f>
        <v>000</v>
      </c>
      <c r="K144" s="965">
        <v>4</v>
      </c>
      <c r="L144" s="908">
        <v>112</v>
      </c>
      <c r="M144" s="908">
        <v>16561</v>
      </c>
      <c r="N144" s="908">
        <v>226</v>
      </c>
      <c r="O144" s="1341"/>
      <c r="P144" s="1375"/>
      <c r="Q144" s="1349"/>
      <c r="R144" s="1281" t="s">
        <v>237</v>
      </c>
      <c r="S144" s="1128"/>
      <c r="Y144" s="959"/>
      <c r="Z144" s="959"/>
      <c r="AA144" s="959"/>
      <c r="AB144" s="963"/>
      <c r="AE144" s="50">
        <f>COUNT(102,$AF$115:AF120)-1</f>
        <v>6</v>
      </c>
      <c r="AF144" s="50">
        <v>1</v>
      </c>
    </row>
    <row r="145" spans="1:32" ht="20.25" customHeight="1">
      <c r="A145" s="971">
        <f>IF(Расходы_4[[#This Row],[КВР]]&gt;=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))))))))))))),1,0)</f>
        <v>1</v>
      </c>
      <c r="B145" s="971">
        <f>IF(AND(Расходы_4[[#This Row],[КЦ]]="14561Э",M144="14561Т"),1,
IF(Расходы_4[[#This Row],[КЦ]]&gt;=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))))))))))))),1,0))</f>
        <v>1</v>
      </c>
      <c r="C145" s="971">
        <f>IF(Расходы_4[[#This Row],[КОСГУ]]&gt;=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))))))))))))),1,0)</f>
        <v>1</v>
      </c>
      <c r="D145" s="971">
        <f>IF(Расходы_4[[#This Row],[КВР]]&gt;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IF(SUBTOTAL(109,L132)&gt;0,SUBTOTAL(109,L132),
))))))))))))),1,0)</f>
        <v>0</v>
      </c>
      <c r="E145" s="971">
        <f>IF(AND(Расходы_4[[#This Row],[КЦ]]="14561Э",M144="14561Т"),1,
IF(Расходы_4[[#This Row],[КЦ]]&gt;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IF(SUBTOTAL(109,M132)&gt;0,SUBTOTAL(109,M132),
))))))))))))),1,0))</f>
        <v>0</v>
      </c>
      <c r="F145" s="971">
        <f>IF(Расходы_4[[#This Row],[КОСГУ]]&gt;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IF(SUBTOTAL(109,N132)&gt;0,SUBTOTAL(109,N132),
))))))))))))),1,0)</f>
        <v>0</v>
      </c>
      <c r="G145" s="971" t="e">
        <f ca="1">_xlfn.AGGREGATE(9,5,$D$139:D145)</f>
        <v>#NAME?</v>
      </c>
      <c r="H145" s="971" t="e">
        <f ca="1">_xlfn.AGGREGATE(9,5,$E$139:E145)</f>
        <v>#NAME?</v>
      </c>
      <c r="I145" s="971" t="e">
        <f ca="1">_xlfn.AGGREGATE(9,5,$F$139:F145)</f>
        <v>#NAME?</v>
      </c>
      <c r="J145" s="968" t="str">
        <f>IF(SUM(Расходы_4[[#This Row],[2 025]:[2 027]])=0,"000",".")</f>
        <v>000</v>
      </c>
      <c r="K145" s="965">
        <v>4</v>
      </c>
      <c r="L145" s="908">
        <v>112</v>
      </c>
      <c r="M145" s="908">
        <v>16561</v>
      </c>
      <c r="N145" s="908">
        <v>226</v>
      </c>
      <c r="O145" s="1341"/>
      <c r="P145" s="1375"/>
      <c r="Q145" s="1349"/>
      <c r="R145" s="1281" t="s">
        <v>236</v>
      </c>
      <c r="S145" s="1128"/>
      <c r="Y145" s="959"/>
      <c r="Z145" s="959"/>
      <c r="AA145" s="959"/>
      <c r="AB145" s="963"/>
      <c r="AE145" s="50">
        <f>COUNT(102,$AF$115:AF121)-1</f>
        <v>7</v>
      </c>
      <c r="AF145" s="50">
        <v>1</v>
      </c>
    </row>
    <row r="146" spans="1:32" ht="20.25" customHeight="1">
      <c r="A146" s="971">
        <f>IF(Расходы_4[[#This Row],[КВР]]&gt;=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))))))))))))),1,0)</f>
        <v>1</v>
      </c>
      <c r="B146" s="971">
        <f>IF(AND(Расходы_4[[#This Row],[КЦ]]="14561Э",M145="14561Т"),1,
IF(Расходы_4[[#This Row],[КЦ]]&gt;=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))))))))))))),1,0))</f>
        <v>1</v>
      </c>
      <c r="C146" s="971">
        <f>IF(Расходы_4[[#This Row],[КОСГУ]]&gt;=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))))))))))))),1,0)</f>
        <v>0</v>
      </c>
      <c r="D146" s="971">
        <f>IF(Расходы_4[[#This Row],[КВР]]&gt;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IF(SUBTOTAL(109,L133)&gt;0,SUBTOTAL(109,L133),
))))))))))))),1,0)</f>
        <v>0</v>
      </c>
      <c r="E146" s="971">
        <f>IF(AND(Расходы_4[[#This Row],[КЦ]]="14561Э",M145="14561Т"),1,
IF(Расходы_4[[#This Row],[КЦ]]&gt;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IF(SUBTOTAL(109,M133)&gt;0,SUBTOTAL(109,M133),
))))))))))))),1,0))</f>
        <v>1</v>
      </c>
      <c r="F146" s="971">
        <f>IF(Расходы_4[[#This Row],[КОСГУ]]&gt;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IF(SUBTOTAL(109,N133)&gt;0,SUBTOTAL(109,N133),
))))))))))))),1,0)</f>
        <v>0</v>
      </c>
      <c r="G146" s="971" t="e">
        <f ca="1">_xlfn.AGGREGATE(9,5,$D$139:D146)</f>
        <v>#NAME?</v>
      </c>
      <c r="H146" s="971" t="e">
        <f ca="1">_xlfn.AGGREGATE(9,5,$E$139:E146)</f>
        <v>#NAME?</v>
      </c>
      <c r="I146" s="971" t="e">
        <f ca="1">_xlfn.AGGREGATE(9,5,$F$139:F146)</f>
        <v>#NAME?</v>
      </c>
      <c r="J146" s="968" t="str">
        <f>IF(SUM(Расходы_4[[#This Row],[2 025]:[2 027]])=0,"000",".")</f>
        <v>000</v>
      </c>
      <c r="K146" s="965">
        <v>4</v>
      </c>
      <c r="L146" s="908">
        <v>112</v>
      </c>
      <c r="M146" s="908">
        <v>31561</v>
      </c>
      <c r="N146" s="908">
        <v>212</v>
      </c>
      <c r="O146" s="1341"/>
      <c r="P146" s="1375"/>
      <c r="Q146" s="1349"/>
      <c r="R146" s="1281" t="s">
        <v>234</v>
      </c>
      <c r="S146" s="1128"/>
      <c r="Y146" s="959"/>
      <c r="Z146" s="959"/>
      <c r="AA146" s="959"/>
      <c r="AB146" s="963"/>
      <c r="AE146" s="50">
        <f>COUNT(102,$AF$115:AF122)-1</f>
        <v>8</v>
      </c>
      <c r="AF146" s="50">
        <v>1</v>
      </c>
    </row>
    <row r="147" spans="1:32" ht="20.25" customHeight="1">
      <c r="A147" s="971">
        <f>IF(Расходы_4[[#This Row],[КВР]]&gt;=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))))))))))))),1,0)</f>
        <v>1</v>
      </c>
      <c r="B147" s="971">
        <f>IF(AND(Расходы_4[[#This Row],[КЦ]]="14561Э",M146="14561Т"),1,
IF(Расходы_4[[#This Row],[КЦ]]&gt;=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))))))))))))),1,0))</f>
        <v>1</v>
      </c>
      <c r="C147" s="971">
        <f>IF(Расходы_4[[#This Row],[КОСГУ]]&gt;=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))))))))))))),1,0)</f>
        <v>1</v>
      </c>
      <c r="D147" s="971">
        <f>IF(Расходы_4[[#This Row],[КВР]]&gt;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IF(SUBTOTAL(109,L134)&gt;0,SUBTOTAL(109,L134),
))))))))))))),1,0)</f>
        <v>0</v>
      </c>
      <c r="E147" s="971">
        <f>IF(AND(Расходы_4[[#This Row],[КЦ]]="14561Э",M146="14561Т"),1,
IF(Расходы_4[[#This Row],[КЦ]]&gt;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IF(SUBTOTAL(109,M134)&gt;0,SUBTOTAL(109,M134),
))))))))))))),1,0))</f>
        <v>0</v>
      </c>
      <c r="F147" s="971">
        <f>IF(Расходы_4[[#This Row],[КОСГУ]]&gt;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IF(SUBTOTAL(109,N134)&gt;0,SUBTOTAL(109,N134),
))))))))))))),1,0)</f>
        <v>1</v>
      </c>
      <c r="G147" s="971" t="e">
        <f ca="1">_xlfn.AGGREGATE(9,5,$D$139:D147)</f>
        <v>#NAME?</v>
      </c>
      <c r="H147" s="971" t="e">
        <f ca="1">_xlfn.AGGREGATE(9,5,$E$139:E147)</f>
        <v>#NAME?</v>
      </c>
      <c r="I147" s="971" t="e">
        <f ca="1">_xlfn.AGGREGATE(9,5,$F$139:F147)</f>
        <v>#NAME?</v>
      </c>
      <c r="J147" s="968" t="str">
        <f>IF(SUM(Расходы_4[[#This Row],[2 025]:[2 027]])=0,"000",".")</f>
        <v>000</v>
      </c>
      <c r="K147" s="965">
        <v>4</v>
      </c>
      <c r="L147" s="908">
        <v>112</v>
      </c>
      <c r="M147" s="908">
        <v>31561</v>
      </c>
      <c r="N147" s="908">
        <v>226</v>
      </c>
      <c r="O147" s="1341"/>
      <c r="P147" s="1375"/>
      <c r="Q147" s="1349"/>
      <c r="R147" s="1281" t="s">
        <v>235</v>
      </c>
      <c r="S147" s="1128"/>
      <c r="Y147" s="959"/>
      <c r="Z147" s="959"/>
      <c r="AA147" s="959"/>
      <c r="AB147" s="963"/>
      <c r="AE147" s="50">
        <f>COUNT(102,$AF$115:AF123)-1</f>
        <v>9</v>
      </c>
      <c r="AF147" s="50">
        <v>1</v>
      </c>
    </row>
    <row r="148" spans="1:32" ht="20.25" customHeight="1">
      <c r="A148" s="971">
        <f>IF(Расходы_4[[#This Row],[КВР]]&gt;=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))))))))))))),1,0)</f>
        <v>1</v>
      </c>
      <c r="B148" s="971">
        <f>IF(AND(Расходы_4[[#This Row],[КЦ]]="14561Э",M147="14561Т"),1,
IF(Расходы_4[[#This Row],[КЦ]]&gt;=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))))))))))))),1,0))</f>
        <v>1</v>
      </c>
      <c r="C148" s="971">
        <f>IF(Расходы_4[[#This Row],[КОСГУ]]&gt;=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))))))))))))),1,0)</f>
        <v>1</v>
      </c>
      <c r="D148" s="971">
        <f>IF(Расходы_4[[#This Row],[КВР]]&gt;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IF(SUBTOTAL(109,L135)&gt;0,SUBTOTAL(109,L135),
))))))))))))),1,0)</f>
        <v>0</v>
      </c>
      <c r="E148" s="971">
        <f>IF(AND(Расходы_4[[#This Row],[КЦ]]="14561Э",M147="14561Т"),1,
IF(Расходы_4[[#This Row],[КЦ]]&gt;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IF(SUBTOTAL(109,M135)&gt;0,SUBTOTAL(109,M135),
))))))))))))),1,0))</f>
        <v>1</v>
      </c>
      <c r="F148" s="971">
        <f>IF(Расходы_4[[#This Row],[КОСГУ]]&gt;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IF(SUBTOTAL(109,N135)&gt;0,SUBTOTAL(109,N135),
))))))))))))),1,0)</f>
        <v>0</v>
      </c>
      <c r="G148" s="971" t="e">
        <f ca="1">_xlfn.AGGREGATE(9,5,$D$139:D148)</f>
        <v>#NAME?</v>
      </c>
      <c r="H148" s="971" t="e">
        <f ca="1">_xlfn.AGGREGATE(9,5,$E$139:E148)</f>
        <v>#NAME?</v>
      </c>
      <c r="I148" s="971" t="e">
        <f ca="1">_xlfn.AGGREGATE(9,5,$F$139:F148)</f>
        <v>#NAME?</v>
      </c>
      <c r="J148" s="968" t="str">
        <f>IF(SUM(Расходы_4[[#This Row],[2 025]:[2 027]])=0,"000",".")</f>
        <v>.</v>
      </c>
      <c r="K148" s="965">
        <v>4</v>
      </c>
      <c r="L148" s="908">
        <v>112</v>
      </c>
      <c r="M148" s="908">
        <v>32561</v>
      </c>
      <c r="N148" s="908">
        <v>226</v>
      </c>
      <c r="O148" s="1310">
        <v>1900</v>
      </c>
      <c r="P148" s="1376"/>
      <c r="Q148" s="1321"/>
      <c r="R148" s="1281" t="s">
        <v>237</v>
      </c>
      <c r="S148" s="1128"/>
      <c r="Y148" s="959"/>
      <c r="Z148" s="959"/>
      <c r="AA148" s="959"/>
      <c r="AB148" s="963"/>
      <c r="AE148" s="50">
        <f>COUNT(102,$AF$115:AF124)-1</f>
        <v>10</v>
      </c>
      <c r="AF148" s="50">
        <v>1</v>
      </c>
    </row>
    <row r="149" spans="1:32" ht="20.25" customHeight="1" thickBot="1">
      <c r="A149" s="971">
        <f>IF(Расходы_4[[#This Row],[КВР]]&gt;=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))))))))))))),1,0)</f>
        <v>1</v>
      </c>
      <c r="B149" s="971">
        <f>IF(AND(Расходы_4[[#This Row],[КЦ]]="14561Э",M148="14561Т"),1,
IF(Расходы_4[[#This Row],[КЦ]]&gt;=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))))))))))))),1,0))</f>
        <v>0</v>
      </c>
      <c r="C149" s="971">
        <f>IF(Расходы_4[[#This Row],[КОСГУ]]&gt;=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))))))))))))),1,0)</f>
        <v>1</v>
      </c>
      <c r="D149" s="971">
        <f>IF(Расходы_4[[#This Row],[КВР]]&gt;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IF(SUBTOTAL(109,L136)&gt;0,SUBTOTAL(109,L136),
))))))))))))),1,0)</f>
        <v>1</v>
      </c>
      <c r="E149" s="971">
        <f>IF(AND(Расходы_4[[#This Row],[КЦ]]="14561Э",M148="14561Т"),1,
IF(Расходы_4[[#This Row],[КЦ]]&gt;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IF(SUBTOTAL(109,M136)&gt;0,SUBTOTAL(109,M136),
))))))))))))),1,0))</f>
        <v>0</v>
      </c>
      <c r="F149" s="971">
        <f>IF(Расходы_4[[#This Row],[КОСГУ]]&gt;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IF(SUBTOTAL(109,N136)&gt;0,SUBTOTAL(109,N136),
))))))))))))),1,0)</f>
        <v>0</v>
      </c>
      <c r="G149" s="971" t="e">
        <f ca="1">_xlfn.AGGREGATE(9,5,$D$139:D149)</f>
        <v>#NAME?</v>
      </c>
      <c r="H149" s="971" t="e">
        <f ca="1">_xlfn.AGGREGATE(9,5,$E$139:E149)</f>
        <v>#NAME?</v>
      </c>
      <c r="I149" s="971" t="e">
        <f ca="1">_xlfn.AGGREGATE(9,5,$F$139:F149)</f>
        <v>#NAME?</v>
      </c>
      <c r="J149" s="968" t="str">
        <f>IF(SUM(Расходы_4[[#This Row],[2 025]:[2 027]])=0,"000",".")</f>
        <v>000</v>
      </c>
      <c r="K149" s="965">
        <v>4</v>
      </c>
      <c r="L149" s="909">
        <v>113</v>
      </c>
      <c r="M149" s="909">
        <v>31561</v>
      </c>
      <c r="N149" s="909">
        <v>226</v>
      </c>
      <c r="O149" s="1342"/>
      <c r="P149" s="1377"/>
      <c r="Q149" s="1350"/>
      <c r="R149" s="1281" t="s">
        <v>238</v>
      </c>
      <c r="S149" s="1128"/>
      <c r="Y149" s="959"/>
      <c r="Z149" s="959"/>
      <c r="AA149" s="959"/>
      <c r="AB149" s="963"/>
      <c r="AE149" s="50">
        <f>COUNT(102,$AF$115:AF125)-1</f>
        <v>11</v>
      </c>
      <c r="AF149" s="50">
        <v>1</v>
      </c>
    </row>
    <row r="150" spans="1:32" ht="20.25" customHeight="1" thickBot="1">
      <c r="A150" s="971">
        <f>IF(Расходы_4[[#This Row],[КВР]]&gt;=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))))))))))))),1,0)</f>
        <v>1</v>
      </c>
      <c r="B150" s="971">
        <f>IF(AND(Расходы_4[[#This Row],[КЦ]]="14561Э",M149="14561Т"),1,
IF(Расходы_4[[#This Row],[КЦ]]&gt;=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))))))))))))),1,0))</f>
        <v>0</v>
      </c>
      <c r="C150" s="971">
        <f>IF(Расходы_4[[#This Row],[КОСГУ]]&gt;=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))))))))))))),1,0)</f>
        <v>0</v>
      </c>
      <c r="D150" s="971">
        <f>IF(Расходы_4[[#This Row],[КВР]]&gt;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IF(SUBTOTAL(109,L137)&gt;0,SUBTOTAL(109,L137),
))))))))))))),1,0)</f>
        <v>1</v>
      </c>
      <c r="E150" s="971">
        <f>IF(AND(Расходы_4[[#This Row],[КЦ]]="14561Э",M149="14561Т"),1,
IF(Расходы_4[[#This Row],[КЦ]]&gt;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IF(SUBTOTAL(109,M137)&gt;0,SUBTOTAL(109,M137),
))))))))))))),1,0))</f>
        <v>0</v>
      </c>
      <c r="F150" s="971">
        <f>IF(Расходы_4[[#This Row],[КОСГУ]]&gt;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IF(SUBTOTAL(109,N137)&gt;0,SUBTOTAL(109,N137),
))))))))))))),1,0)</f>
        <v>0</v>
      </c>
      <c r="G150" s="971" t="e">
        <f ca="1">_xlfn.AGGREGATE(9,5,$D$139:D150)</f>
        <v>#NAME?</v>
      </c>
      <c r="H150" s="971" t="e">
        <f ca="1">_xlfn.AGGREGATE(9,5,$E$139:E150)</f>
        <v>#NAME?</v>
      </c>
      <c r="I150" s="971" t="e">
        <f ca="1">_xlfn.AGGREGATE(9,5,$F$139:F150)</f>
        <v>#NAME?</v>
      </c>
      <c r="J150" s="968" t="str">
        <f>IF(SUM(Расходы_4[[#This Row],[2 025]:[2 027]])=0,"000",".")</f>
        <v>.</v>
      </c>
      <c r="K150" s="1335">
        <v>4</v>
      </c>
      <c r="L150" s="1301">
        <v>119</v>
      </c>
      <c r="M150" s="1272">
        <v>13561</v>
      </c>
      <c r="N150" s="1272">
        <v>213</v>
      </c>
      <c r="O150" s="1343">
        <f>1382500+31402652+39084+120089+1874460+1758+84312+41313.93-287086.35</f>
        <v>34659082.579999998</v>
      </c>
      <c r="P150" s="1378">
        <f>1382500+31402652+39084+121003+1874460+1758+84312</f>
        <v>34905769</v>
      </c>
      <c r="Q150" s="1351">
        <f>1382500+31402652+39084+121003+1874460+1758+84312</f>
        <v>34905769</v>
      </c>
      <c r="R150" s="1281"/>
      <c r="S150" s="1128"/>
      <c r="Y150" s="959"/>
      <c r="Z150" s="959"/>
      <c r="AA150" s="959"/>
      <c r="AB150" s="963"/>
      <c r="AE150" s="50">
        <f>COUNT(102,$AF$115:AF126)-1</f>
        <v>12</v>
      </c>
      <c r="AF150" s="50">
        <v>1</v>
      </c>
    </row>
    <row r="151" spans="1:32" ht="20.25" customHeight="1">
      <c r="A151" s="971">
        <f>IF(Расходы_4[[#This Row],[КВР]]&gt;=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))))))))))))),1,0)</f>
        <v>1</v>
      </c>
      <c r="B151" s="971">
        <f>IF(AND(Расходы_4[[#This Row],[КЦ]]="14561Э",M150="14561Т"),1,
IF(Расходы_4[[#This Row],[КЦ]]&gt;=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))))))))))))),1,0))</f>
        <v>1</v>
      </c>
      <c r="C151" s="971">
        <f>IF(Расходы_4[[#This Row],[КОСГУ]]&gt;=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))))))))))))),1,0)</f>
        <v>1</v>
      </c>
      <c r="D151" s="971">
        <f>IF(Расходы_4[[#This Row],[КВР]]&gt;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IF(SUBTOTAL(109,L138)&gt;0,SUBTOTAL(109,L138),
))))))))))))),1,0)</f>
        <v>0</v>
      </c>
      <c r="E151" s="971">
        <f>IF(AND(Расходы_4[[#This Row],[КЦ]]="14561Э",M150="14561Т"),1,
IF(Расходы_4[[#This Row],[КЦ]]&gt;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IF(SUBTOTAL(109,M138)&gt;0,SUBTOTAL(109,M138),
))))))))))))),1,0))</f>
        <v>0</v>
      </c>
      <c r="F151" s="971">
        <f>IF(Расходы_4[[#This Row],[КОСГУ]]&gt;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IF(SUBTOTAL(109,N138)&gt;0,SUBTOTAL(109,N138),
))))))))))))),1,0)</f>
        <v>1</v>
      </c>
      <c r="G151" s="971" t="e">
        <f ca="1">_xlfn.AGGREGATE(9,5,$D$139:D151)</f>
        <v>#NAME?</v>
      </c>
      <c r="H151" s="971" t="e">
        <f ca="1">_xlfn.AGGREGATE(9,5,$E$139:E151)</f>
        <v>#NAME?</v>
      </c>
      <c r="I151" s="971" t="e">
        <f ca="1">_xlfn.AGGREGATE(9,5,$F$139:F151)</f>
        <v>#NAME?</v>
      </c>
      <c r="J151" s="968" t="str">
        <f>IF(SUM(Расходы_4[[#This Row],[2 025]:[2 027]])=0,"000",".")</f>
        <v>000</v>
      </c>
      <c r="K151" s="965">
        <v>4</v>
      </c>
      <c r="L151" s="1266">
        <v>119</v>
      </c>
      <c r="M151" s="1266">
        <v>13561</v>
      </c>
      <c r="N151" s="1266">
        <v>265</v>
      </c>
      <c r="O151" s="1344"/>
      <c r="P151" s="1379"/>
      <c r="Q151" s="1352"/>
      <c r="R151" s="1281" t="s">
        <v>748</v>
      </c>
      <c r="S151" s="1128"/>
      <c r="Y151" s="959"/>
      <c r="Z151" s="959"/>
      <c r="AA151" s="959"/>
      <c r="AB151" s="963"/>
      <c r="AE151" s="50">
        <f>COUNT(102,$AF$115:AF127)-1</f>
        <v>13</v>
      </c>
      <c r="AF151" s="50">
        <v>1</v>
      </c>
    </row>
    <row r="152" spans="1:32" ht="20.25" customHeight="1">
      <c r="A152" s="971">
        <f>IF(Расходы_4[[#This Row],[КВР]]&gt;=
IF(SUBTOTAL(109,L151)&gt;0,SUBTOTAL(109,L151),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))))))))))))),1,0)</f>
        <v>1</v>
      </c>
      <c r="B152" s="971">
        <f>IF(AND(Расходы_4[[#This Row],[КЦ]]="14561Э",M151="14561Т"),1,
IF(Расходы_4[[#This Row],[КЦ]]&gt;=
IF(SUBTOTAL(109,M151)&gt;0,SUBTOTAL(109,M151),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))))))))))))),1,0))</f>
        <v>1</v>
      </c>
      <c r="C152" s="971">
        <f>IF(Расходы_4[[#This Row],[КОСГУ]]&gt;=
IF(SUBTOTAL(109,N151)&gt;0,SUBTOTAL(109,N151),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))))))))))))),1,0)</f>
        <v>1</v>
      </c>
      <c r="D152" s="971">
        <f>IF(Расходы_4[[#This Row],[КВР]]&gt;
IF(SUBTOTAL(109,L151)&gt;0,SUBTOTAL(109,L151),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IF(SUBTOTAL(109,L139)&gt;0,SUBTOTAL(109,L139),
))))))))))))),1,0)</f>
        <v>0</v>
      </c>
      <c r="E152" s="971">
        <f>IF(AND(Расходы_4[[#This Row],[КЦ]]="14561Э",M151="14561Т"),1,
IF(Расходы_4[[#This Row],[КЦ]]&gt;
IF(SUBTOTAL(109,M151)&gt;0,SUBTOTAL(109,M151),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IF(SUBTOTAL(109,M139)&gt;0,SUBTOTAL(109,M139),
))))))))))))),1,0))</f>
        <v>0</v>
      </c>
      <c r="F152" s="971">
        <f>IF(Расходы_4[[#This Row],[КОСГУ]]&gt;
IF(SUBTOTAL(109,N151)&gt;0,SUBTOTAL(109,N151),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IF(SUBTOTAL(109,N139)&gt;0,SUBTOTAL(109,N139),
))))))))))))),1,0)</f>
        <v>1</v>
      </c>
      <c r="G152" s="971" t="e">
        <f ca="1">_xlfn.AGGREGATE(9,5,$D$139:D152)</f>
        <v>#NAME?</v>
      </c>
      <c r="H152" s="971" t="e">
        <f ca="1">_xlfn.AGGREGATE(9,5,$E$139:E152)</f>
        <v>#NAME?</v>
      </c>
      <c r="I152" s="971" t="e">
        <f ca="1">_xlfn.AGGREGATE(9,5,$F$139:F152)</f>
        <v>#NAME?</v>
      </c>
      <c r="J152" s="968" t="str">
        <f>IF(SUM(Расходы_4[[#This Row],[2 025]:[2 027]])=0,"000",".")</f>
        <v>000</v>
      </c>
      <c r="K152" s="965">
        <v>4</v>
      </c>
      <c r="L152" s="908">
        <v>119</v>
      </c>
      <c r="M152" s="908">
        <v>13561</v>
      </c>
      <c r="N152" s="908">
        <v>266</v>
      </c>
      <c r="O152" s="1341"/>
      <c r="P152" s="1375"/>
      <c r="Q152" s="1349"/>
      <c r="R152" s="1281" t="s">
        <v>1022</v>
      </c>
      <c r="S152" s="1128"/>
      <c r="Y152" s="959"/>
      <c r="Z152" s="959"/>
      <c r="AA152" s="959"/>
      <c r="AB152" s="963"/>
      <c r="AE152" s="50">
        <f>COUNT(102,$AF$115:AF128)-1</f>
        <v>14</v>
      </c>
      <c r="AF152" s="50">
        <v>1</v>
      </c>
    </row>
    <row r="153" spans="1:32" ht="20.25" customHeight="1">
      <c r="A153" s="971">
        <f>IF(Расходы_4[[#This Row],[КВР]]&gt;=
IF(SUBTOTAL(109,L152)&gt;0,SUBTOTAL(109,L152),
IF(SUBTOTAL(109,L151)&gt;0,SUBTOTAL(109,L151),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))))))))))))),1,0)</f>
        <v>1</v>
      </c>
      <c r="B153" s="971">
        <f>IF(AND(Расходы_4[[#This Row],[КЦ]]="14561Э",M152="14561Т"),1,
IF(Расходы_4[[#This Row],[КЦ]]&gt;=
IF(SUBTOTAL(109,M152)&gt;0,SUBTOTAL(109,M152),
IF(SUBTOTAL(109,M151)&gt;0,SUBTOTAL(109,M151),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))))))))))))),1,0))</f>
        <v>1</v>
      </c>
      <c r="C153" s="971">
        <f>IF(Расходы_4[[#This Row],[КОСГУ]]&gt;=
IF(SUBTOTAL(109,N152)&gt;0,SUBTOTAL(109,N152),
IF(SUBTOTAL(109,N151)&gt;0,SUBTOTAL(109,N151),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))))))))))))),1,0)</f>
        <v>1</v>
      </c>
      <c r="D153" s="971">
        <f>IF(Расходы_4[[#This Row],[КВР]]&gt;
IF(SUBTOTAL(109,L152)&gt;0,SUBTOTAL(109,L152),
IF(SUBTOTAL(109,L151)&gt;0,SUBTOTAL(109,L151),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))))))))))))),1,0)</f>
        <v>0</v>
      </c>
      <c r="E153" s="971">
        <f>IF(AND(Расходы_4[[#This Row],[КЦ]]="14561Э",M152="14561Т"),1,
IF(Расходы_4[[#This Row],[КЦ]]&gt;
IF(SUBTOTAL(109,M152)&gt;0,SUBTOTAL(109,M152),
IF(SUBTOTAL(109,M151)&gt;0,SUBTOTAL(109,M151),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))))))))))))),1,0))</f>
        <v>0</v>
      </c>
      <c r="F153" s="971">
        <f>IF(Расходы_4[[#This Row],[КОСГУ]]&gt;
IF(SUBTOTAL(109,N152)&gt;0,SUBTOTAL(109,N152),
IF(SUBTOTAL(109,N151)&gt;0,SUBTOTAL(109,N151),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))))))))))))),1,0)</f>
        <v>1</v>
      </c>
      <c r="G153" s="971" t="e">
        <f ca="1">_xlfn.AGGREGATE(9,5,$D$139:D153)</f>
        <v>#NAME?</v>
      </c>
      <c r="H153" s="971" t="e">
        <f ca="1">_xlfn.AGGREGATE(9,5,$E$139:E153)</f>
        <v>#NAME?</v>
      </c>
      <c r="I153" s="971" t="e">
        <f ca="1">_xlfn.AGGREGATE(9,5,$F$139:F153)</f>
        <v>#NAME?</v>
      </c>
      <c r="J153" s="968" t="str">
        <f>IF(SUM(Расходы_4[[#This Row],[2 025]:[2 027]])=0,"000",".")</f>
        <v>000</v>
      </c>
      <c r="K153" s="965">
        <v>4</v>
      </c>
      <c r="L153" s="908">
        <v>119</v>
      </c>
      <c r="M153" s="908">
        <v>13561</v>
      </c>
      <c r="N153" s="908">
        <v>831</v>
      </c>
      <c r="O153" s="1345"/>
      <c r="P153" s="1375"/>
      <c r="Q153" s="1349"/>
      <c r="R153" s="1281" t="s">
        <v>1021</v>
      </c>
      <c r="S153" s="1128"/>
      <c r="Y153" s="959"/>
      <c r="Z153" s="959"/>
      <c r="AA153" s="959"/>
      <c r="AB153" s="963"/>
      <c r="AE153" s="50">
        <f>COUNT(102,$AF$115:AF129)-1</f>
        <v>15</v>
      </c>
      <c r="AF153" s="50">
        <v>1</v>
      </c>
    </row>
    <row r="154" spans="1:32" ht="20.25" customHeight="1">
      <c r="A154" s="971">
        <f>IF(Расходы_4[[#This Row],[КВР]]&gt;=
IF(SUBTOTAL(109,L153)&gt;0,SUBTOTAL(109,L153),
IF(SUBTOTAL(109,L152)&gt;0,SUBTOTAL(109,L152),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))))))))))))),1,0)</f>
        <v>1</v>
      </c>
      <c r="B154" s="971">
        <f>IF(AND(Расходы_4[[#This Row],[КЦ]]="14561Э",M153="14561Т"),1,
IF(Расходы_4[[#This Row],[КЦ]]&gt;=
IF(SUBTOTAL(109,M153)&gt;0,SUBTOTAL(109,M153),
IF(SUBTOTAL(109,M152)&gt;0,SUBTOTAL(109,M152),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))))))))))))),1,0))</f>
        <v>1</v>
      </c>
      <c r="C154" s="971">
        <f>IF(Расходы_4[[#This Row],[КОСГУ]]&gt;=
IF(SUBTOTAL(109,N153)&gt;0,SUBTOTAL(109,N153),
IF(SUBTOTAL(109,N152)&gt;0,SUBTOTAL(109,N152),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))))))))))))),1,0)</f>
        <v>0</v>
      </c>
      <c r="D154" s="971">
        <f>IF(Расходы_4[[#This Row],[КВР]]&gt;
IF(SUBTOTAL(109,L153)&gt;0,SUBTOTAL(109,L153),
IF(SUBTOTAL(109,L152)&gt;0,SUBTOTAL(109,L152),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IF(SUBTOTAL(109,L141)&gt;0,SUBTOTAL(109,L141),
IF(SUBTOTAL(109,L140)&gt;0,SUBTOTAL(109,L140),
))))))))))))),1,0)</f>
        <v>0</v>
      </c>
      <c r="E154" s="971">
        <f>IF(AND(Расходы_4[[#This Row],[КЦ]]="14561Э",M153="14561Т"),1,
IF(Расходы_4[[#This Row],[КЦ]]&gt;
IF(SUBTOTAL(109,M153)&gt;0,SUBTOTAL(109,M153),
IF(SUBTOTAL(109,M152)&gt;0,SUBTOTAL(109,M152),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IF(SUBTOTAL(109,M141)&gt;0,SUBTOTAL(109,M141),
IF(SUBTOTAL(109,M140)&gt;0,SUBTOTAL(109,M140),
))))))))))))),1,0))</f>
        <v>1</v>
      </c>
      <c r="F154" s="971">
        <f>IF(Расходы_4[[#This Row],[КОСГУ]]&gt;
IF(SUBTOTAL(109,N153)&gt;0,SUBTOTAL(109,N153),
IF(SUBTOTAL(109,N152)&gt;0,SUBTOTAL(109,N152),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IF(SUBTOTAL(109,N141)&gt;0,SUBTOTAL(109,N141),
IF(SUBTOTAL(109,N140)&gt;0,SUBTOTAL(109,N140),
))))))))))))),1,0)</f>
        <v>0</v>
      </c>
      <c r="G154" s="971" t="e">
        <f ca="1">_xlfn.AGGREGATE(9,5,$D$139:D154)</f>
        <v>#NAME?</v>
      </c>
      <c r="H154" s="971" t="e">
        <f ca="1">_xlfn.AGGREGATE(9,5,$E$139:E154)</f>
        <v>#NAME?</v>
      </c>
      <c r="I154" s="971" t="e">
        <f ca="1">_xlfn.AGGREGATE(9,5,$F$139:F154)</f>
        <v>#NAME?</v>
      </c>
      <c r="J154" s="968" t="str">
        <f>IF(SUM(Расходы_4[[#This Row],[2 025]:[2 027]])=0,"000",".")</f>
        <v>000</v>
      </c>
      <c r="K154" s="965">
        <v>4</v>
      </c>
      <c r="L154" s="908">
        <v>119</v>
      </c>
      <c r="M154" s="908">
        <v>16561</v>
      </c>
      <c r="N154" s="908">
        <v>226</v>
      </c>
      <c r="O154" s="1341"/>
      <c r="P154" s="1375"/>
      <c r="Q154" s="1349"/>
      <c r="R154" s="1281" t="s">
        <v>1101</v>
      </c>
      <c r="S154" s="1128"/>
      <c r="Y154" s="959"/>
      <c r="Z154" s="959"/>
      <c r="AA154" s="959"/>
      <c r="AB154" s="963"/>
      <c r="AE154" s="50">
        <f>COUNT(102,$AF$115:AF130)-1</f>
        <v>16</v>
      </c>
      <c r="AF154" s="50">
        <v>1</v>
      </c>
    </row>
    <row r="155" spans="1:32" ht="20.25" customHeight="1" thickBot="1">
      <c r="A155" s="971">
        <f>IF(Расходы_4[[#This Row],[КВР]]&gt;=
IF(SUBTOTAL(109,L154)&gt;0,SUBTOTAL(109,L154),
IF(SUBTOTAL(109,L153)&gt;0,SUBTOTAL(109,L153),
IF(SUBTOTAL(109,L152)&gt;0,SUBTOTAL(109,L152),
IF(SUBTOTAL(109,L151)&gt;0,SUBTOTAL(109,L151),
IF(SUBTOTAL(109,L150)&gt;0,SUBTOTAL(109,L150),
IF(SUBTOTAL(109,L149)&gt;0,SUBTOTAL(109,L149),
IF(SUBTOTAL(109,L148)&gt;0,SUBTOTAL(109,L148),
IF(SUBTOTAL(109,L146)&gt;0,SUBTOTAL(109,L146),
IF(SUBTOTAL(109,L145)&gt;0,SUBTOTAL(109,L145),
IF(SUBTOTAL(109,L144)&gt;0,SUBTOTAL(109,L144),
IF(SUBTOTAL(109,L143)&gt;0,SUBTOTAL(109,L143),
IF(SUBTOTAL(109,L142)&gt;0,SUBTOTAL(109,L142),
IF(SUBTOTAL(109,L141)&gt;0,SUBTOTAL(109,L141),
))))))))))))),1,0)</f>
        <v>1</v>
      </c>
      <c r="B155" s="971">
        <f>IF(AND(Расходы_4[[#This Row],[КЦ]]="14561Э",M154="14561Т"),1,
IF(Расходы_4[[#This Row],[КЦ]]&gt;=
IF(SUBTOTAL(109,M154)&gt;0,SUBTOTAL(109,M154),
IF(SUBTOTAL(109,M153)&gt;0,SUBTOTAL(109,M153),
IF(SUBTOTAL(109,M152)&gt;0,SUBTOTAL(109,M152),
IF(SUBTOTAL(109,M151)&gt;0,SUBTOTAL(109,M151),
IF(SUBTOTAL(109,M150)&gt;0,SUBTOTAL(109,M150),
IF(SUBTOTAL(109,M149)&gt;0,SUBTOTAL(109,M149),
IF(SUBTOTAL(109,M148)&gt;0,SUBTOTAL(109,M148),
IF(SUBTOTAL(109,M146)&gt;0,SUBTOTAL(109,M146),
IF(SUBTOTAL(109,M145)&gt;0,SUBTOTAL(109,M145),
IF(SUBTOTAL(109,M144)&gt;0,SUBTOTAL(109,M144),
IF(SUBTOTAL(109,M143)&gt;0,SUBTOTAL(109,M143),
IF(SUBTOTAL(109,M142)&gt;0,SUBTOTAL(109,M142),
IF(SUBTOTAL(109,M141)&gt;0,SUBTOTAL(109,M141),
))))))))))))),1,0))</f>
        <v>1</v>
      </c>
      <c r="C155" s="971">
        <f>IF(Расходы_4[[#This Row],[КОСГУ]]&gt;=
IF(SUBTOTAL(109,N154)&gt;0,SUBTOTAL(109,N154),
IF(SUBTOTAL(109,N153)&gt;0,SUBTOTAL(109,N153),
IF(SUBTOTAL(109,N152)&gt;0,SUBTOTAL(109,N152),
IF(SUBTOTAL(109,N151)&gt;0,SUBTOTAL(109,N151),
IF(SUBTOTAL(109,N150)&gt;0,SUBTOTAL(109,N150),
IF(SUBTOTAL(109,N149)&gt;0,SUBTOTAL(109,N149),
IF(SUBTOTAL(109,N148)&gt;0,SUBTOTAL(109,N148),
IF(SUBTOTAL(109,N146)&gt;0,SUBTOTAL(109,N146),
IF(SUBTOTAL(109,N145)&gt;0,SUBTOTAL(109,N145),
IF(SUBTOTAL(109,N144)&gt;0,SUBTOTAL(109,N144),
IF(SUBTOTAL(109,N143)&gt;0,SUBTOTAL(109,N143),
IF(SUBTOTAL(109,N142)&gt;0,SUBTOTAL(109,N142),
IF(SUBTOTAL(109,N141)&gt;0,SUBTOTAL(109,N141),
))))))))))))),1,0)</f>
        <v>1</v>
      </c>
      <c r="D155" s="971">
        <f>IF(Расходы_4[[#This Row],[КВР]]&gt;
IF(SUBTOTAL(109,L154)&gt;0,SUBTOTAL(109,L154),
IF(SUBTOTAL(109,L153)&gt;0,SUBTOTAL(109,L153),
IF(SUBTOTAL(109,L152)&gt;0,SUBTOTAL(109,L152),
IF(SUBTOTAL(109,L151)&gt;0,SUBTOTAL(109,L151),
IF(SUBTOTAL(109,L150)&gt;0,SUBTOTAL(109,L150),
IF(SUBTOTAL(109,L149)&gt;0,SUBTOTAL(109,L149),
IF(SUBTOTAL(109,L148)&gt;0,SUBTOTAL(109,L148),
IF(SUBTOTAL(109,L146)&gt;0,SUBTOTAL(109,L146),
IF(SUBTOTAL(109,L145)&gt;0,SUBTOTAL(109,L145),
IF(SUBTOTAL(109,L144)&gt;0,SUBTOTAL(109,L144),
IF(SUBTOTAL(109,L143)&gt;0,SUBTOTAL(109,L143),
IF(SUBTOTAL(109,L142)&gt;0,SUBTOTAL(109,L142),
IF(SUBTOTAL(109,L141)&gt;0,SUBTOTAL(109,L141),
))))))))))))),1,0)</f>
        <v>0</v>
      </c>
      <c r="E155" s="971">
        <f>IF(AND(Расходы_4[[#This Row],[КЦ]]="14561Э",M154="14561Т"),1,
IF(Расходы_4[[#This Row],[КЦ]]&gt;
IF(SUBTOTAL(109,M154)&gt;0,SUBTOTAL(109,M154),
IF(SUBTOTAL(109,M153)&gt;0,SUBTOTAL(109,M153),
IF(SUBTOTAL(109,M152)&gt;0,SUBTOTAL(109,M152),
IF(SUBTOTAL(109,M151)&gt;0,SUBTOTAL(109,M151),
IF(SUBTOTAL(109,M150)&gt;0,SUBTOTAL(109,M150),
IF(SUBTOTAL(109,M149)&gt;0,SUBTOTAL(109,M149),
IF(SUBTOTAL(109,M148)&gt;0,SUBTOTAL(109,M148),
IF(SUBTOTAL(109,M146)&gt;0,SUBTOTAL(109,M146),
IF(SUBTOTAL(109,M145)&gt;0,SUBTOTAL(109,M145),
IF(SUBTOTAL(109,M144)&gt;0,SUBTOTAL(109,M144),
IF(SUBTOTAL(109,M143)&gt;0,SUBTOTAL(109,M143),
IF(SUBTOTAL(109,M142)&gt;0,SUBTOTAL(109,M142),
IF(SUBTOTAL(109,M141)&gt;0,SUBTOTAL(109,M141),
))))))))))))),1,0))</f>
        <v>1</v>
      </c>
      <c r="F155" s="971">
        <f>IF(Расходы_4[[#This Row],[КОСГУ]]&gt;
IF(SUBTOTAL(109,N154)&gt;0,SUBTOTAL(109,N154),
IF(SUBTOTAL(109,N153)&gt;0,SUBTOTAL(109,N153),
IF(SUBTOTAL(109,N152)&gt;0,SUBTOTAL(109,N152),
IF(SUBTOTAL(109,N151)&gt;0,SUBTOTAL(109,N151),
IF(SUBTOTAL(109,N150)&gt;0,SUBTOTAL(109,N150),
IF(SUBTOTAL(109,N149)&gt;0,SUBTOTAL(109,N149),
IF(SUBTOTAL(109,N148)&gt;0,SUBTOTAL(109,N148),
IF(SUBTOTAL(109,N146)&gt;0,SUBTOTAL(109,N146),
IF(SUBTOTAL(109,N145)&gt;0,SUBTOTAL(109,N145),
IF(SUBTOTAL(109,N144)&gt;0,SUBTOTAL(109,N144),
IF(SUBTOTAL(109,N143)&gt;0,SUBTOTAL(109,N143),
IF(SUBTOTAL(109,N142)&gt;0,SUBTOTAL(109,N142),
IF(SUBTOTAL(109,N141)&gt;0,SUBTOTAL(109,N141),
))))))))))))),1,0)</f>
        <v>0</v>
      </c>
      <c r="G155" s="971" t="e">
        <f ca="1">_xlfn.AGGREGATE(9,5,$D$139:D155)</f>
        <v>#NAME?</v>
      </c>
      <c r="H155" s="971" t="e">
        <f ca="1">_xlfn.AGGREGATE(9,5,$E$139:E155)</f>
        <v>#NAME?</v>
      </c>
      <c r="I155" s="971" t="e">
        <f ca="1">_xlfn.AGGREGATE(9,5,$F$139:F155)</f>
        <v>#NAME?</v>
      </c>
      <c r="J155" s="968" t="str">
        <f>IF(SUM(Расходы_4[[#This Row],[2 025]:[2 027]])=0,"000",".")</f>
        <v>000</v>
      </c>
      <c r="K155" s="965">
        <v>4</v>
      </c>
      <c r="L155" s="909">
        <v>119</v>
      </c>
      <c r="M155" s="909">
        <v>32561</v>
      </c>
      <c r="N155" s="909">
        <v>226</v>
      </c>
      <c r="O155" s="1342"/>
      <c r="P155" s="1377"/>
      <c r="Q155" s="1350"/>
      <c r="R155" s="1281" t="s">
        <v>1101</v>
      </c>
      <c r="S155" s="1128"/>
      <c r="Y155" s="959"/>
      <c r="Z155" s="959"/>
      <c r="AA155" s="959"/>
      <c r="AB155" s="963"/>
      <c r="AE155" s="50">
        <f>COUNT(102,$AF$115:AF131)-1</f>
        <v>17</v>
      </c>
      <c r="AF155" s="50">
        <v>1</v>
      </c>
    </row>
    <row r="156" spans="1:32" ht="20.25" customHeight="1" thickBot="1">
      <c r="A156" s="971">
        <f>IF(Расходы_4[[#This Row],[КВР]]&gt;=
IF(SUBTOTAL(109,L155)&gt;0,SUBTOTAL(109,L155),
IF(SUBTOTAL(109,L154)&gt;0,SUBTOTAL(109,L154),
IF(SUBTOTAL(109,L153)&gt;0,SUBTOTAL(109,L153),
IF(SUBTOTAL(109,L151)&gt;0,SUBTOTAL(109,L151),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))))))))))))),1,0)</f>
        <v>1</v>
      </c>
      <c r="B156" s="971">
        <f>IF(AND(Расходы_4[[#This Row],[КЦ]]="14561Э",M155="14561Т"),1,
IF(Расходы_4[[#This Row],[КЦ]]&gt;=
IF(SUBTOTAL(109,M155)&gt;0,SUBTOTAL(109,M155),
IF(SUBTOTAL(109,M154)&gt;0,SUBTOTAL(109,M154),
IF(SUBTOTAL(109,M153)&gt;0,SUBTOTAL(109,M153),
IF(SUBTOTAL(109,M151)&gt;0,SUBTOTAL(109,M151),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))))))))))))),1,0))</f>
        <v>0</v>
      </c>
      <c r="C156" s="971">
        <f>IF(Расходы_4[[#This Row],[КОСГУ]]&gt;=
IF(SUBTOTAL(109,N155)&gt;0,SUBTOTAL(109,N155),
IF(SUBTOTAL(109,N154)&gt;0,SUBTOTAL(109,N154),
IF(SUBTOTAL(109,N153)&gt;0,SUBTOTAL(109,N153),
IF(SUBTOTAL(109,N151)&gt;0,SUBTOTAL(109,N151),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))))))))))))),1,0)</f>
        <v>0</v>
      </c>
      <c r="D156" s="971">
        <f>IF(Расходы_4[[#This Row],[КВР]]&gt;
IF(SUBTOTAL(109,L155)&gt;0,SUBTOTAL(109,L155),
IF(SUBTOTAL(109,L154)&gt;0,SUBTOTAL(109,L154),
IF(SUBTOTAL(109,L153)&gt;0,SUBTOTAL(109,L153),
IF(SUBTOTAL(109,L151)&gt;0,SUBTOTAL(109,L151),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IF(SUBTOTAL(109,L142)&gt;0,SUBTOTAL(109,L142),
))))))))))))),1,0)</f>
        <v>1</v>
      </c>
      <c r="E156" s="971">
        <f>IF(AND(Расходы_4[[#This Row],[КЦ]]="14561Э",M155="14561Т"),1,
IF(Расходы_4[[#This Row],[КЦ]]&gt;
IF(SUBTOTAL(109,M155)&gt;0,SUBTOTAL(109,M155),
IF(SUBTOTAL(109,M154)&gt;0,SUBTOTAL(109,M154),
IF(SUBTOTAL(109,M153)&gt;0,SUBTOTAL(109,M153),
IF(SUBTOTAL(109,M151)&gt;0,SUBTOTAL(109,M151),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IF(SUBTOTAL(109,M142)&gt;0,SUBTOTAL(109,M142),
))))))))))))),1,0))</f>
        <v>0</v>
      </c>
      <c r="F156" s="971">
        <f>IF(Расходы_4[[#This Row],[КОСГУ]]&gt;
IF(SUBTOTAL(109,N155)&gt;0,SUBTOTAL(109,N155),
IF(SUBTOTAL(109,N154)&gt;0,SUBTOTAL(109,N154),
IF(SUBTOTAL(109,N153)&gt;0,SUBTOTAL(109,N153),
IF(SUBTOTAL(109,N151)&gt;0,SUBTOTAL(109,N151),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IF(SUBTOTAL(109,N142)&gt;0,SUBTOTAL(109,N142),
))))))))))))),1,0)</f>
        <v>0</v>
      </c>
      <c r="G156" s="971" t="e">
        <f ca="1">_xlfn.AGGREGATE(9,5,$D$139:D156)</f>
        <v>#NAME?</v>
      </c>
      <c r="H156" s="971" t="e">
        <f ca="1">_xlfn.AGGREGATE(9,5,$E$139:E156)</f>
        <v>#NAME?</v>
      </c>
      <c r="I156" s="971" t="e">
        <f ca="1">_xlfn.AGGREGATE(9,5,$F$139:F156)</f>
        <v>#NAME?</v>
      </c>
      <c r="J156" s="968" t="str">
        <f>IF(SUM(Расходы_4[[#This Row],[2 025]:[2 027]])=0,"000",".")</f>
        <v>.</v>
      </c>
      <c r="K156" s="1335">
        <v>4</v>
      </c>
      <c r="L156" s="1301">
        <v>244</v>
      </c>
      <c r="M156" s="1272">
        <v>14569</v>
      </c>
      <c r="N156" s="1272">
        <v>223</v>
      </c>
      <c r="O156" s="1417">
        <f>361966+1850.83</f>
        <v>363816.83</v>
      </c>
      <c r="P156" s="1417">
        <v>361966</v>
      </c>
      <c r="Q156" s="1417">
        <v>361966</v>
      </c>
      <c r="R156" s="1281" t="s">
        <v>262</v>
      </c>
      <c r="S156" s="1128"/>
      <c r="Y156" s="959"/>
      <c r="Z156" s="959"/>
      <c r="AA156" s="959"/>
      <c r="AB156" s="963"/>
      <c r="AE156" s="50">
        <f>COUNT(102,$AF$115:AF132)-1</f>
        <v>18</v>
      </c>
      <c r="AF156" s="50">
        <v>1</v>
      </c>
    </row>
    <row r="157" spans="1:32" ht="20.25" customHeight="1" thickBot="1">
      <c r="A157" s="971">
        <f>IF(Расходы_4[[#This Row],[КВР]]&gt;=
IF(SUBTOTAL(109,L155)&gt;0,SUBTOTAL(109,L155),
IF(SUBTOTAL(109,L154)&gt;0,SUBTOTAL(109,L154),
IF(SUBTOTAL(109,L153)&gt;0,SUBTOTAL(109,L153),
IF(SUBTOTAL(109,L152)&gt;0,SUBTOTAL(109,L152),
IF(SUBTOTAL(109,L151)&gt;0,SUBTOTAL(109,L151),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))))))))))))),1,0)</f>
        <v>1</v>
      </c>
      <c r="B157" s="971">
        <f>IF(AND(Расходы_4[[#This Row],[КЦ]]="14561Э",M155="14561Т"),1,
IF(Расходы_4[[#This Row],[КЦ]]&gt;=
IF(SUBTOTAL(109,M155)&gt;0,SUBTOTAL(109,M155),
IF(SUBTOTAL(109,M154)&gt;0,SUBTOTAL(109,M154),
IF(SUBTOTAL(109,M153)&gt;0,SUBTOTAL(109,M153),
IF(SUBTOTAL(109,M152)&gt;0,SUBTOTAL(109,M152),
IF(SUBTOTAL(109,M151)&gt;0,SUBTOTAL(109,M151),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))))))))))))),1,0))</f>
        <v>0</v>
      </c>
      <c r="C157" s="971">
        <f>IF(Расходы_4[[#This Row],[КОСГУ]]&gt;=
IF(SUBTOTAL(109,N155)&gt;0,SUBTOTAL(109,N155),
IF(SUBTOTAL(109,N154)&gt;0,SUBTOTAL(109,N154),
IF(SUBTOTAL(109,N153)&gt;0,SUBTOTAL(109,N153),
IF(SUBTOTAL(109,N152)&gt;0,SUBTOTAL(109,N152),
IF(SUBTOTAL(109,N151)&gt;0,SUBTOTAL(109,N151),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))))))))))))),1,0)</f>
        <v>0</v>
      </c>
      <c r="D157" s="971">
        <f>IF(Расходы_4[[#This Row],[КВР]]&gt;
IF(SUBTOTAL(109,L155)&gt;0,SUBTOTAL(109,L155),
IF(SUBTOTAL(109,L154)&gt;0,SUBTOTAL(109,L154),
IF(SUBTOTAL(109,L153)&gt;0,SUBTOTAL(109,L153),
IF(SUBTOTAL(109,L152)&gt;0,SUBTOTAL(109,L152),
IF(SUBTOTAL(109,L151)&gt;0,SUBTOTAL(109,L151),
IF(SUBTOTAL(109,L150)&gt;0,SUBTOTAL(109,L150),
IF(SUBTOTAL(109,L149)&gt;0,SUBTOTAL(109,L149),
IF(SUBTOTAL(109,L148)&gt;0,SUBTOTAL(109,L148),
IF(SUBTOTAL(109,L147)&gt;0,SUBTOTAL(109,L147),
IF(SUBTOTAL(109,L146)&gt;0,SUBTOTAL(109,L146),
IF(SUBTOTAL(109,L145)&gt;0,SUBTOTAL(109,L145),
IF(SUBTOTAL(109,L144)&gt;0,SUBTOTAL(109,L144),
IF(SUBTOTAL(109,L143)&gt;0,SUBTOTAL(109,L143),
))))))))))))),1,0)</f>
        <v>1</v>
      </c>
      <c r="E157" s="971">
        <f>IF(AND(Расходы_4[[#This Row],[КЦ]]="14561Э",M155="14561Т"),1,
IF(Расходы_4[[#This Row],[КЦ]]&gt;
IF(SUBTOTAL(109,M155)&gt;0,SUBTOTAL(109,M155),
IF(SUBTOTAL(109,M154)&gt;0,SUBTOTAL(109,M154),
IF(SUBTOTAL(109,M153)&gt;0,SUBTOTAL(109,M153),
IF(SUBTOTAL(109,M152)&gt;0,SUBTOTAL(109,M152),
IF(SUBTOTAL(109,M151)&gt;0,SUBTOTAL(109,M151),
IF(SUBTOTAL(109,M150)&gt;0,SUBTOTAL(109,M150),
IF(SUBTOTAL(109,M149)&gt;0,SUBTOTAL(109,M149),
IF(SUBTOTAL(109,M148)&gt;0,SUBTOTAL(109,M148),
IF(SUBTOTAL(109,M147)&gt;0,SUBTOTAL(109,M147),
IF(SUBTOTAL(109,M146)&gt;0,SUBTOTAL(109,M146),
IF(SUBTOTAL(109,M145)&gt;0,SUBTOTAL(109,M145),
IF(SUBTOTAL(109,M144)&gt;0,SUBTOTAL(109,M144),
IF(SUBTOTAL(109,M143)&gt;0,SUBTOTAL(109,M143),
))))))))))))),1,0))</f>
        <v>0</v>
      </c>
      <c r="F157" s="971">
        <f>IF(Расходы_4[[#This Row],[КОСГУ]]&gt;
IF(SUBTOTAL(109,N155)&gt;0,SUBTOTAL(109,N155),
IF(SUBTOTAL(109,N154)&gt;0,SUBTOTAL(109,N154),
IF(SUBTOTAL(109,N153)&gt;0,SUBTOTAL(109,N153),
IF(SUBTOTAL(109,N152)&gt;0,SUBTOTAL(109,N152),
IF(SUBTOTAL(109,N151)&gt;0,SUBTOTAL(109,N151),
IF(SUBTOTAL(109,N150)&gt;0,SUBTOTAL(109,N150),
IF(SUBTOTAL(109,N149)&gt;0,SUBTOTAL(109,N149),
IF(SUBTOTAL(109,N148)&gt;0,SUBTOTAL(109,N148),
IF(SUBTOTAL(109,N147)&gt;0,SUBTOTAL(109,N147),
IF(SUBTOTAL(109,N146)&gt;0,SUBTOTAL(109,N146),
IF(SUBTOTAL(109,N145)&gt;0,SUBTOTAL(109,N145),
IF(SUBTOTAL(109,N144)&gt;0,SUBTOTAL(109,N144),
IF(SUBTOTAL(109,N143)&gt;0,SUBTOTAL(109,N143),
))))))))))))),1,0)</f>
        <v>0</v>
      </c>
      <c r="G157" s="971" t="e">
        <f ca="1">_xlfn.AGGREGATE(9,5,$D$139:D157)</f>
        <v>#NAME?</v>
      </c>
      <c r="H157" s="971" t="e">
        <f ca="1">_xlfn.AGGREGATE(9,5,$E$139:E157)</f>
        <v>#NAME?</v>
      </c>
      <c r="I157" s="971" t="e">
        <f ca="1">_xlfn.AGGREGATE(9,5,$F$139:F157)</f>
        <v>#NAME?</v>
      </c>
      <c r="J157" s="968" t="str">
        <f>IF(SUM(Расходы_4[[#This Row],[2 025]:[2 027]])=0,"000",".")</f>
        <v>.</v>
      </c>
      <c r="K157" s="965">
        <v>4</v>
      </c>
      <c r="L157" s="1419">
        <v>244</v>
      </c>
      <c r="M157" s="1301">
        <v>16561</v>
      </c>
      <c r="N157" s="1272">
        <v>221</v>
      </c>
      <c r="O157" s="1417">
        <v>161450</v>
      </c>
      <c r="P157" s="1417">
        <v>161450</v>
      </c>
      <c r="Q157" s="1292">
        <v>161450</v>
      </c>
      <c r="R157" s="1281" t="s">
        <v>280</v>
      </c>
      <c r="S157" s="1128"/>
      <c r="Y157" s="959"/>
      <c r="Z157" s="959"/>
      <c r="AA157" s="959"/>
      <c r="AB157" s="963"/>
      <c r="AE157" s="50">
        <f>COUNT(102,$AF$115:AF133)-1</f>
        <v>19</v>
      </c>
      <c r="AF157" s="50">
        <v>1</v>
      </c>
    </row>
    <row r="158" spans="1:32" ht="20.25" customHeight="1">
      <c r="A158" s="971">
        <f>IF(Расходы_4[[#This Row],[КВР]]&gt;=
IF(SUBTOTAL(109,L157)&gt;0,SUBTOTAL(109,L157),
IF(SUBTOTAL(109,L155)&gt;0,SUBTOTAL(109,L155),
IF(SUBTOTAL(109,L154)&gt;0,SUBTOTAL(109,L154),
IF(SUBTOTAL(109,L153)&gt;0,SUBTOTAL(109,L153),
IF(SUBTOTAL(109,L152)&gt;0,SUBTOTAL(109,L152),
IF(SUBTOTAL(109,L151)&gt;0,SUBTOTAL(109,L151),
IF(SUBTOTAL(109,L150)&gt;0,SUBTOTAL(109,L150),
IF(SUBTOTAL(109,L149)&gt;0,SUBTOTAL(109,L149),
IF(SUBTOTAL(109,L148)&gt;0,SUBTOTAL(109,L148),
IF(SUBTOTAL(109,L147)&gt;0,SUBTOTAL(109,L147),
IF(SUBTOTAL(109,L146)&gt;0,SUBTOTAL(109,L146),
IF(SUBTOTAL(109,L145)&gt;0,SUBTOTAL(109,L145),
IF(SUBTOTAL(109,L144)&gt;0,SUBTOTAL(109,L144),
))))))))))))),1,0)</f>
        <v>1</v>
      </c>
      <c r="B158" s="971">
        <f>IF(AND(Расходы_4[[#This Row],[КЦ]]="14561Э",M157="14561Т"),1,
IF(Расходы_4[[#This Row],[КЦ]]&gt;=
IF(SUBTOTAL(109,M157)&gt;0,SUBTOTAL(109,M157),
IF(SUBTOTAL(109,M155)&gt;0,SUBTOTAL(109,M155),
IF(SUBTOTAL(109,M154)&gt;0,SUBTOTAL(109,M154),
IF(SUBTOTAL(109,M153)&gt;0,SUBTOTAL(109,M153),
IF(SUBTOTAL(109,M152)&gt;0,SUBTOTAL(109,M152),
IF(SUBTOTAL(109,M151)&gt;0,SUBTOTAL(109,M151),
IF(SUBTOTAL(109,M150)&gt;0,SUBTOTAL(109,M150),
IF(SUBTOTAL(109,M149)&gt;0,SUBTOTAL(109,M149),
IF(SUBTOTAL(109,M148)&gt;0,SUBTOTAL(109,M148),
IF(SUBTOTAL(109,M147)&gt;0,SUBTOTAL(109,M147),
IF(SUBTOTAL(109,M146)&gt;0,SUBTOTAL(109,M146),
IF(SUBTOTAL(109,M145)&gt;0,SUBTOTAL(109,M145),
IF(SUBTOTAL(109,M144)&gt;0,SUBTOTAL(109,M144),
))))))))))))),1,0))</f>
        <v>1</v>
      </c>
      <c r="C158" s="971">
        <f>IF(Расходы_4[[#This Row],[КОСГУ]]&gt;=
IF(SUBTOTAL(109,N157)&gt;0,SUBTOTAL(109,N157),
IF(SUBTOTAL(109,N155)&gt;0,SUBTOTAL(109,N155),
IF(SUBTOTAL(109,N154)&gt;0,SUBTOTAL(109,N154),
IF(SUBTOTAL(109,N153)&gt;0,SUBTOTAL(109,N153),
IF(SUBTOTAL(109,N152)&gt;0,SUBTOTAL(109,N152),
IF(SUBTOTAL(109,N151)&gt;0,SUBTOTAL(109,N151),
IF(SUBTOTAL(109,N150)&gt;0,SUBTOTAL(109,N150),
IF(SUBTOTAL(109,N149)&gt;0,SUBTOTAL(109,N149),
IF(SUBTOTAL(109,N148)&gt;0,SUBTOTAL(109,N148),
IF(SUBTOTAL(109,N147)&gt;0,SUBTOTAL(109,N147),
IF(SUBTOTAL(109,N146)&gt;0,SUBTOTAL(109,N146),
IF(SUBTOTAL(109,N145)&gt;0,SUBTOTAL(109,N145),
IF(SUBTOTAL(109,N144)&gt;0,SUBTOTAL(109,N144),
))))))))))))),1,0)</f>
        <v>1</v>
      </c>
      <c r="D158" s="971">
        <f>IF(Расходы_4[[#This Row],[КВР]]&gt;
IF(SUBTOTAL(109,L157)&gt;0,SUBTOTAL(109,L157),
IF(SUBTOTAL(109,L155)&gt;0,SUBTOTAL(109,L155),
IF(SUBTOTAL(109,L154)&gt;0,SUBTOTAL(109,L154),
IF(SUBTOTAL(109,L153)&gt;0,SUBTOTAL(109,L153),
IF(SUBTOTAL(109,L152)&gt;0,SUBTOTAL(109,L152),
IF(SUBTOTAL(109,L151)&gt;0,SUBTOTAL(109,L151),
IF(SUBTOTAL(109,L150)&gt;0,SUBTOTAL(109,L150),
IF(SUBTOTAL(109,L149)&gt;0,SUBTOTAL(109,L149),
IF(SUBTOTAL(109,L148)&gt;0,SUBTOTAL(109,L148),
IF(SUBTOTAL(109,L147)&gt;0,SUBTOTAL(109,L147),
IF(SUBTOTAL(109,L146)&gt;0,SUBTOTAL(109,L146),
IF(SUBTOTAL(109,L145)&gt;0,SUBTOTAL(109,L145),
IF(SUBTOTAL(109,L144)&gt;0,SUBTOTAL(109,L144),
))))))))))))),1,0)</f>
        <v>0</v>
      </c>
      <c r="E158" s="971">
        <f>IF(AND(Расходы_4[[#This Row],[КЦ]]="14561Э",M157="14561Т"),1,
IF(Расходы_4[[#This Row],[КЦ]]&gt;
IF(SUBTOTAL(109,M157)&gt;0,SUBTOTAL(109,M157),
IF(SUBTOTAL(109,M155)&gt;0,SUBTOTAL(109,M155),
IF(SUBTOTAL(109,M154)&gt;0,SUBTOTAL(109,M154),
IF(SUBTOTAL(109,M153)&gt;0,SUBTOTAL(109,M153),
IF(SUBTOTAL(109,M152)&gt;0,SUBTOTAL(109,M152),
IF(SUBTOTAL(109,M151)&gt;0,SUBTOTAL(109,M151),
IF(SUBTOTAL(109,M150)&gt;0,SUBTOTAL(109,M150),
IF(SUBTOTAL(109,M149)&gt;0,SUBTOTAL(109,M149),
IF(SUBTOTAL(109,M148)&gt;0,SUBTOTAL(109,M148),
IF(SUBTOTAL(109,M147)&gt;0,SUBTOTAL(109,M147),
IF(SUBTOTAL(109,M146)&gt;0,SUBTOTAL(109,M146),
IF(SUBTOTAL(109,M145)&gt;0,SUBTOTAL(109,M145),
IF(SUBTOTAL(109,M144)&gt;0,SUBTOTAL(109,M144),
))))))))))))),1,0))</f>
        <v>0</v>
      </c>
      <c r="F158" s="971">
        <f>IF(Расходы_4[[#This Row],[КОСГУ]]&gt;
IF(SUBTOTAL(109,N157)&gt;0,SUBTOTAL(109,N157),
IF(SUBTOTAL(109,N155)&gt;0,SUBTOTAL(109,N155),
IF(SUBTOTAL(109,N154)&gt;0,SUBTOTAL(109,N154),
IF(SUBTOTAL(109,N153)&gt;0,SUBTOTAL(109,N153),
IF(SUBTOTAL(109,N152)&gt;0,SUBTOTAL(109,N152),
IF(SUBTOTAL(109,N151)&gt;0,SUBTOTAL(109,N151),
IF(SUBTOTAL(109,N150)&gt;0,SUBTOTAL(109,N150),
IF(SUBTOTAL(109,N149)&gt;0,SUBTOTAL(109,N149),
IF(SUBTOTAL(109,N148)&gt;0,SUBTOTAL(109,N148),
IF(SUBTOTAL(109,N147)&gt;0,SUBTOTAL(109,N147),
IF(SUBTOTAL(109,N146)&gt;0,SUBTOTAL(109,N146),
IF(SUBTOTAL(109,N145)&gt;0,SUBTOTAL(109,N145),
IF(SUBTOTAL(109,N144)&gt;0,SUBTOTAL(109,N144),
))))))))))))),1,0)</f>
        <v>1</v>
      </c>
      <c r="G158" s="971" t="e">
        <f ca="1">_xlfn.AGGREGATE(9,5,$D$139:D158)</f>
        <v>#NAME?</v>
      </c>
      <c r="H158" s="971" t="e">
        <f ca="1">_xlfn.AGGREGATE(9,5,$E$139:E158)</f>
        <v>#NAME?</v>
      </c>
      <c r="I158" s="971" t="e">
        <f ca="1">_xlfn.AGGREGATE(9,5,$F$139:F158)</f>
        <v>#NAME?</v>
      </c>
      <c r="J158" s="968" t="str">
        <f>IF(SUM(Расходы_4[[#This Row],[2 025]:[2 027]])=0,"000",".")</f>
        <v>000</v>
      </c>
      <c r="K158" s="965">
        <v>4</v>
      </c>
      <c r="L158" s="908">
        <v>244</v>
      </c>
      <c r="M158" s="1266">
        <v>16561</v>
      </c>
      <c r="N158" s="1266">
        <v>222</v>
      </c>
      <c r="O158" s="1309"/>
      <c r="P158" s="1381"/>
      <c r="Q158" s="1320"/>
      <c r="R158" s="1281" t="s">
        <v>281</v>
      </c>
      <c r="S158" s="1128"/>
      <c r="Y158" s="959"/>
      <c r="Z158" s="959"/>
      <c r="AA158" s="959"/>
      <c r="AB158" s="963"/>
      <c r="AE158" s="50">
        <f>COUNT(102,$AF$115:AF134)-1</f>
        <v>20</v>
      </c>
      <c r="AF158" s="50">
        <v>1</v>
      </c>
    </row>
    <row r="159" spans="1:32" ht="20.25" customHeight="1">
      <c r="A159" s="971">
        <f>IF(Расходы_4[[#This Row],[КВР]]&gt;=
IF(SUBTOTAL(109,L158)&gt;0,SUBTOTAL(109,L158),
IF(SUBTOTAL(109,L157)&gt;0,SUBTOTAL(109,L157),
IF(SUBTOTAL(109,L156)&gt;0,SUBTOTAL(109,L156),
IF(SUBTOTAL(109,L155)&gt;0,SUBTOTAL(109,L155),
IF(SUBTOTAL(109,L154)&gt;0,SUBTOTAL(109,L154),
IF(SUBTOTAL(109,L152)&gt;0,SUBTOTAL(109,L152),
IF(SUBTOTAL(109,L151)&gt;0,SUBTOTAL(109,L151),
IF(SUBTOTAL(109,L150)&gt;0,SUBTOTAL(109,L150),
IF(SUBTOTAL(109,L149)&gt;0,SUBTOTAL(109,L149),
IF(SUBTOTAL(109,L148)&gt;0,SUBTOTAL(109,L148),
IF(SUBTOTAL(109,L147)&gt;0,SUBTOTAL(109,L147),
IF(SUBTOTAL(109,L146)&gt;0,SUBTOTAL(109,L146),
IF(SUBTOTAL(109,L145)&gt;0,SUBTOTAL(109,L145),
))))))))))))),1,0)</f>
        <v>1</v>
      </c>
      <c r="B159" s="971">
        <f>IF(AND(Расходы_4[[#This Row],[КЦ]]="14561Э",M158="14561Т"),1,
IF(Расходы_4[[#This Row],[КЦ]]&gt;=
IF(SUBTOTAL(109,M158)&gt;0,SUBTOTAL(109,M158),
IF(SUBTOTAL(109,M157)&gt;0,SUBTOTAL(109,M157),
IF(SUBTOTAL(109,M156)&gt;0,SUBTOTAL(109,M156),
IF(SUBTOTAL(109,M155)&gt;0,SUBTOTAL(109,M155),
IF(SUBTOTAL(109,M154)&gt;0,SUBTOTAL(109,M154),
IF(SUBTOTAL(109,M152)&gt;0,SUBTOTAL(109,M152),
IF(SUBTOTAL(109,M151)&gt;0,SUBTOTAL(109,M151),
IF(SUBTOTAL(109,M150)&gt;0,SUBTOTAL(109,M150),
IF(SUBTOTAL(109,M149)&gt;0,SUBTOTAL(109,M149),
IF(SUBTOTAL(109,M148)&gt;0,SUBTOTAL(109,M148),
IF(SUBTOTAL(109,M147)&gt;0,SUBTOTAL(109,M147),
IF(SUBTOTAL(109,M146)&gt;0,SUBTOTAL(109,M146),
IF(SUBTOTAL(109,M145)&gt;0,SUBTOTAL(109,M145),
))))))))))))),1,0))</f>
        <v>1</v>
      </c>
      <c r="C159" s="971">
        <f>IF(Расходы_4[[#This Row],[КОСГУ]]&gt;=
IF(SUBTOTAL(109,N158)&gt;0,SUBTOTAL(109,N158),
IF(SUBTOTAL(109,N157)&gt;0,SUBTOTAL(109,N157),
IF(SUBTOTAL(109,N156)&gt;0,SUBTOTAL(109,N156),
IF(SUBTOTAL(109,N155)&gt;0,SUBTOTAL(109,N155),
IF(SUBTOTAL(109,N154)&gt;0,SUBTOTAL(109,N154),
IF(SUBTOTAL(109,N152)&gt;0,SUBTOTAL(109,N152),
IF(SUBTOTAL(109,N151)&gt;0,SUBTOTAL(109,N151),
IF(SUBTOTAL(109,N150)&gt;0,SUBTOTAL(109,N150),
IF(SUBTOTAL(109,N149)&gt;0,SUBTOTAL(109,N149),
IF(SUBTOTAL(109,N148)&gt;0,SUBTOTAL(109,N148),
IF(SUBTOTAL(109,N147)&gt;0,SUBTOTAL(109,N147),
IF(SUBTOTAL(109,N146)&gt;0,SUBTOTAL(109,N146),
IF(SUBTOTAL(109,N145)&gt;0,SUBTOTAL(109,N145),
))))))))))))),1,0)</f>
        <v>1</v>
      </c>
      <c r="D159" s="971">
        <f>IF(Расходы_4[[#This Row],[КВР]]&gt;
IF(SUBTOTAL(109,L158)&gt;0,SUBTOTAL(109,L158),
IF(SUBTOTAL(109,L157)&gt;0,SUBTOTAL(109,L157),
IF(SUBTOTAL(109,L156)&gt;0,SUBTOTAL(109,L156),
IF(SUBTOTAL(109,L155)&gt;0,SUBTOTAL(109,L155),
IF(SUBTOTAL(109,L154)&gt;0,SUBTOTAL(109,L154),
IF(SUBTOTAL(109,L152)&gt;0,SUBTOTAL(109,L152),
IF(SUBTOTAL(109,L151)&gt;0,SUBTOTAL(109,L151),
IF(SUBTOTAL(109,L150)&gt;0,SUBTOTAL(109,L150),
IF(SUBTOTAL(109,L149)&gt;0,SUBTOTAL(109,L149),
IF(SUBTOTAL(109,L148)&gt;0,SUBTOTAL(109,L148),
IF(SUBTOTAL(109,L147)&gt;0,SUBTOTAL(109,L147),
IF(SUBTOTAL(109,L146)&gt;0,SUBTOTAL(109,L146),
IF(SUBTOTAL(109,L145)&gt;0,SUBTOTAL(109,L145),
))))))))))))),1,0)</f>
        <v>0</v>
      </c>
      <c r="E159" s="971">
        <f>IF(AND(Расходы_4[[#This Row],[КЦ]]="14561Э",M158="14561Т"),1,
IF(Расходы_4[[#This Row],[КЦ]]&gt;
IF(SUBTOTAL(109,M158)&gt;0,SUBTOTAL(109,M158),
IF(SUBTOTAL(109,M157)&gt;0,SUBTOTAL(109,M157),
IF(SUBTOTAL(109,M156)&gt;0,SUBTOTAL(109,M156),
IF(SUBTOTAL(109,M155)&gt;0,SUBTOTAL(109,M155),
IF(SUBTOTAL(109,M154)&gt;0,SUBTOTAL(109,M154),
IF(SUBTOTAL(109,M152)&gt;0,SUBTOTAL(109,M152),
IF(SUBTOTAL(109,M151)&gt;0,SUBTOTAL(109,M151),
IF(SUBTOTAL(109,M150)&gt;0,SUBTOTAL(109,M150),
IF(SUBTOTAL(109,M149)&gt;0,SUBTOTAL(109,M149),
IF(SUBTOTAL(109,M148)&gt;0,SUBTOTAL(109,M148),
IF(SUBTOTAL(109,M147)&gt;0,SUBTOTAL(109,M147),
IF(SUBTOTAL(109,M146)&gt;0,SUBTOTAL(109,M146),
IF(SUBTOTAL(109,M145)&gt;0,SUBTOTAL(109,M145),
))))))))))))),1,0))</f>
        <v>0</v>
      </c>
      <c r="F159" s="971">
        <f>IF(Расходы_4[[#This Row],[КОСГУ]]&gt;
IF(SUBTOTAL(109,N158)&gt;0,SUBTOTAL(109,N158),
IF(SUBTOTAL(109,N157)&gt;0,SUBTOTAL(109,N157),
IF(SUBTOTAL(109,N156)&gt;0,SUBTOTAL(109,N156),
IF(SUBTOTAL(109,N155)&gt;0,SUBTOTAL(109,N155),
IF(SUBTOTAL(109,N154)&gt;0,SUBTOTAL(109,N154),
IF(SUBTOTAL(109,N152)&gt;0,SUBTOTAL(109,N152),
IF(SUBTOTAL(109,N151)&gt;0,SUBTOTAL(109,N151),
IF(SUBTOTAL(109,N150)&gt;0,SUBTOTAL(109,N150),
IF(SUBTOTAL(109,N149)&gt;0,SUBTOTAL(109,N149),
IF(SUBTOTAL(109,N148)&gt;0,SUBTOTAL(109,N148),
IF(SUBTOTAL(109,N147)&gt;0,SUBTOTAL(109,N147),
IF(SUBTOTAL(109,N146)&gt;0,SUBTOTAL(109,N146),
IF(SUBTOTAL(109,N145)&gt;0,SUBTOTAL(109,N145),
))))))))))))),1,0)</f>
        <v>1</v>
      </c>
      <c r="G159" s="971" t="e">
        <f ca="1">_xlfn.AGGREGATE(9,5,$D$139:D159)</f>
        <v>#NAME?</v>
      </c>
      <c r="H159" s="971" t="e">
        <f ca="1">_xlfn.AGGREGATE(9,5,$E$139:E159)</f>
        <v>#NAME?</v>
      </c>
      <c r="I159" s="971" t="e">
        <f ca="1">_xlfn.AGGREGATE(9,5,$F$139:F159)</f>
        <v>#NAME?</v>
      </c>
      <c r="J159" s="968" t="str">
        <f>IF(SUM(Расходы_4[[#This Row],[2 025]:[2 027]])=0,"000",".")</f>
        <v>000</v>
      </c>
      <c r="K159" s="965">
        <v>4</v>
      </c>
      <c r="L159" s="908">
        <v>244</v>
      </c>
      <c r="M159" s="908">
        <v>16561</v>
      </c>
      <c r="N159" s="908">
        <v>224</v>
      </c>
      <c r="O159" s="1341"/>
      <c r="P159" s="1375"/>
      <c r="Q159" s="1349"/>
      <c r="R159" s="1281" t="s">
        <v>239</v>
      </c>
      <c r="S159" s="1128"/>
      <c r="Y159" s="959"/>
      <c r="Z159" s="959"/>
      <c r="AA159" s="959"/>
      <c r="AB159" s="963"/>
      <c r="AE159" s="50">
        <f>COUNT(102,$AF$115:AF135)-1</f>
        <v>21</v>
      </c>
      <c r="AF159" s="50">
        <v>1</v>
      </c>
    </row>
    <row r="160" spans="1:32" ht="20.25" customHeight="1" thickBot="1">
      <c r="A160" s="971">
        <f>IF(Расходы_4[[#This Row],[КВР]]&gt;=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IF(SUBTOTAL(109,L151)&gt;0,SUBTOTAL(109,L151),
IF(SUBTOTAL(109,L150)&gt;0,SUBTOTAL(109,L150),
IF(SUBTOTAL(109,L148)&gt;0,SUBTOTAL(109,L148),
IF(SUBTOTAL(109,L147)&gt;0,SUBTOTAL(109,L147),
IF(SUBTOTAL(109,L146)&gt;0,SUBTOTAL(109,L146),
))))))))))))),1,0)</f>
        <v>1</v>
      </c>
      <c r="B160" s="971">
        <f>IF(AND(Расходы_4[[#This Row],[КЦ]]="14561Э",M159="14561Т"),1,
IF(Расходы_4[[#This Row],[КЦ]]&gt;=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IF(SUBTOTAL(109,M151)&gt;0,SUBTOTAL(109,M151),
IF(SUBTOTAL(109,M150)&gt;0,SUBTOTAL(109,M150),
IF(SUBTOTAL(109,M148)&gt;0,SUBTOTAL(109,M148),
IF(SUBTOTAL(109,M147)&gt;0,SUBTOTAL(109,M147),
IF(SUBTOTAL(109,M146)&gt;0,SUBTOTAL(109,M146),
))))))))))))),1,0))</f>
        <v>1</v>
      </c>
      <c r="C160" s="971">
        <f>IF(Расходы_4[[#This Row],[КОСГУ]]&gt;=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IF(SUBTOTAL(109,N151)&gt;0,SUBTOTAL(109,N151),
IF(SUBTOTAL(109,N150)&gt;0,SUBTOTAL(109,N150),
IF(SUBTOTAL(109,N148)&gt;0,SUBTOTAL(109,N148),
IF(SUBTOTAL(109,N147)&gt;0,SUBTOTAL(109,N147),
IF(SUBTOTAL(109,N146)&gt;0,SUBTOTAL(109,N146),
))))))))))))),1,0)</f>
        <v>1</v>
      </c>
      <c r="D160" s="971">
        <f>IF(Расходы_4[[#This Row],[КВР]]&gt;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IF(SUBTOTAL(109,L151)&gt;0,SUBTOTAL(109,L151),
IF(SUBTOTAL(109,L150)&gt;0,SUBTOTAL(109,L150),
IF(SUBTOTAL(109,L148)&gt;0,SUBTOTAL(109,L148),
IF(SUBTOTAL(109,L147)&gt;0,SUBTOTAL(109,L147),
IF(SUBTOTAL(109,L146)&gt;0,SUBTOTAL(109,L146),
))))))))))))),1,0)</f>
        <v>0</v>
      </c>
      <c r="E160" s="971">
        <f>IF(AND(Расходы_4[[#This Row],[КЦ]]="14561Э",M159="14561Т"),1,
IF(Расходы_4[[#This Row],[КЦ]]&gt;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IF(SUBTOTAL(109,M151)&gt;0,SUBTOTAL(109,M151),
IF(SUBTOTAL(109,M150)&gt;0,SUBTOTAL(109,M150),
IF(SUBTOTAL(109,M148)&gt;0,SUBTOTAL(109,M148),
IF(SUBTOTAL(109,M147)&gt;0,SUBTOTAL(109,M147),
IF(SUBTOTAL(109,M146)&gt;0,SUBTOTAL(109,M146),
))))))))))))),1,0))</f>
        <v>0</v>
      </c>
      <c r="F160" s="971">
        <f>IF(Расходы_4[[#This Row],[КОСГУ]]&gt;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IF(SUBTOTAL(109,N151)&gt;0,SUBTOTAL(109,N151),
IF(SUBTOTAL(109,N150)&gt;0,SUBTOTAL(109,N150),
IF(SUBTOTAL(109,N148)&gt;0,SUBTOTAL(109,N148),
IF(SUBTOTAL(109,N147)&gt;0,SUBTOTAL(109,N147),
IF(SUBTOTAL(109,N146)&gt;0,SUBTOTAL(109,N146),
))))))))))))),1,0)</f>
        <v>1</v>
      </c>
      <c r="G160" s="971" t="e">
        <f ca="1">_xlfn.AGGREGATE(9,5,$D$139:D160)</f>
        <v>#NAME?</v>
      </c>
      <c r="H160" s="971" t="e">
        <f ca="1">_xlfn.AGGREGATE(9,5,$E$139:E160)</f>
        <v>#NAME?</v>
      </c>
      <c r="I160" s="971" t="e">
        <f ca="1">_xlfn.AGGREGATE(9,5,$F$139:F160)</f>
        <v>#NAME?</v>
      </c>
      <c r="J160" s="968" t="str">
        <f>IF(SUM(Расходы_4[[#This Row],[2 025]:[2 027]])=0,"000",".")</f>
        <v>000</v>
      </c>
      <c r="K160" s="965">
        <v>4</v>
      </c>
      <c r="L160" s="908">
        <v>244</v>
      </c>
      <c r="M160" s="909">
        <v>16561</v>
      </c>
      <c r="N160" s="909">
        <v>225</v>
      </c>
      <c r="O160" s="1311"/>
      <c r="P160" s="1421"/>
      <c r="Q160" s="1322"/>
      <c r="R160" s="1281" t="s">
        <v>282</v>
      </c>
      <c r="S160" s="1128"/>
      <c r="Y160" s="959"/>
      <c r="Z160" s="959"/>
      <c r="AA160" s="959"/>
      <c r="AB160" s="963"/>
      <c r="AE160" s="50">
        <f>COUNT(102,$AF$115:AF136)-1</f>
        <v>22</v>
      </c>
      <c r="AF160" s="50">
        <v>1</v>
      </c>
    </row>
    <row r="161" spans="1:32" ht="20.25" customHeight="1" thickBot="1">
      <c r="A161" s="971">
        <f>IF(Расходы_4[[#This Row],[КВР]]&gt;=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IF(SUBTOTAL(109,L150)&gt;0,SUBTOTAL(109,L150),
IF(SUBTOTAL(109,L149)&gt;0,SUBTOTAL(109,L149),
IF(SUBTOTAL(109,L148)&gt;0,SUBTOTAL(109,L148),
IF(SUBTOTAL(109,L147)&gt;0,SUBTOTAL(109,L147),
))))))))))))),1,0)</f>
        <v>1</v>
      </c>
      <c r="B161" s="971">
        <f>IF(AND(Расходы_4[[#This Row],[КЦ]]="14561Э",M160="14561Т"),1,
IF(Расходы_4[[#This Row],[КЦ]]&gt;=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IF(SUBTOTAL(109,M150)&gt;0,SUBTOTAL(109,M150),
IF(SUBTOTAL(109,M149)&gt;0,SUBTOTAL(109,M149),
IF(SUBTOTAL(109,M148)&gt;0,SUBTOTAL(109,M148),
IF(SUBTOTAL(109,M147)&gt;0,SUBTOTAL(109,M147),
))))))))))))),1,0))</f>
        <v>1</v>
      </c>
      <c r="C161" s="971">
        <f>IF(Расходы_4[[#This Row],[КОСГУ]]&gt;=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IF(SUBTOTAL(109,N150)&gt;0,SUBTOTAL(109,N150),
IF(SUBTOTAL(109,N149)&gt;0,SUBTOTAL(109,N149),
IF(SUBTOTAL(109,N148)&gt;0,SUBTOTAL(109,N148),
IF(SUBTOTAL(109,N147)&gt;0,SUBTOTAL(109,N147),
))))))))))))),1,0)</f>
        <v>1</v>
      </c>
      <c r="D161" s="971">
        <f>IF(Расходы_4[[#This Row],[КВР]]&gt;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IF(SUBTOTAL(109,L150)&gt;0,SUBTOTAL(109,L150),
IF(SUBTOTAL(109,L149)&gt;0,SUBTOTAL(109,L149),
IF(SUBTOTAL(109,L148)&gt;0,SUBTOTAL(109,L148),
IF(SUBTOTAL(109,L147)&gt;0,SUBTOTAL(109,L147),
))))))))))))),1,0)</f>
        <v>0</v>
      </c>
      <c r="E161" s="971">
        <f>IF(AND(Расходы_4[[#This Row],[КЦ]]="14561Э",M160="14561Т"),1,
IF(Расходы_4[[#This Row],[КЦ]]&gt;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IF(SUBTOTAL(109,M150)&gt;0,SUBTOTAL(109,M150),
IF(SUBTOTAL(109,M149)&gt;0,SUBTOTAL(109,M149),
IF(SUBTOTAL(109,M148)&gt;0,SUBTOTAL(109,M148),
IF(SUBTOTAL(109,M147)&gt;0,SUBTOTAL(109,M147),
))))))))))))),1,0))</f>
        <v>0</v>
      </c>
      <c r="F161" s="971">
        <f>IF(Расходы_4[[#This Row],[КОСГУ]]&gt;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IF(SUBTOTAL(109,N150)&gt;0,SUBTOTAL(109,N150),
IF(SUBTOTAL(109,N149)&gt;0,SUBTOTAL(109,N149),
IF(SUBTOTAL(109,N148)&gt;0,SUBTOTAL(109,N148),
IF(SUBTOTAL(109,N147)&gt;0,SUBTOTAL(109,N147),
))))))))))))),1,0)</f>
        <v>0</v>
      </c>
      <c r="G161" s="971" t="e">
        <f ca="1">_xlfn.AGGREGATE(9,5,$D$139:D161)</f>
        <v>#NAME?</v>
      </c>
      <c r="H161" s="971" t="e">
        <f ca="1">_xlfn.AGGREGATE(9,5,$E$139:E161)</f>
        <v>#NAME?</v>
      </c>
      <c r="I161" s="971" t="e">
        <f ca="1">_xlfn.AGGREGATE(9,5,$F$139:F161)</f>
        <v>#NAME?</v>
      </c>
      <c r="J161" s="968" t="str">
        <f>IF(SUM(Расходы_4[[#This Row],[2 025]:[2 027]])=0,"000",".")</f>
        <v>.</v>
      </c>
      <c r="K161" s="965">
        <v>4</v>
      </c>
      <c r="L161" s="1420">
        <v>244</v>
      </c>
      <c r="M161" s="1301">
        <v>16561</v>
      </c>
      <c r="N161" s="1272">
        <v>225</v>
      </c>
      <c r="O161" s="1422">
        <v>278313</v>
      </c>
      <c r="P161" s="1422">
        <v>278313</v>
      </c>
      <c r="Q161" s="1422">
        <v>278313</v>
      </c>
      <c r="R161" s="1281" t="s">
        <v>595</v>
      </c>
      <c r="S161" s="1128"/>
      <c r="X161" s="914"/>
      <c r="Y161" s="959"/>
      <c r="Z161" s="959"/>
      <c r="AA161" s="959"/>
      <c r="AB161" s="963"/>
      <c r="AE161" s="50">
        <f>COUNT(102,$AF$115:AF137)-1</f>
        <v>23</v>
      </c>
      <c r="AF161" s="50">
        <v>1</v>
      </c>
    </row>
    <row r="162" spans="1:32" ht="20.25" customHeight="1" thickBot="1">
      <c r="A162" s="971">
        <f>IF(Расходы_4[[#This Row],[КВР]]&gt;=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IF(SUBTOTAL(109,L151)&gt;0,SUBTOTAL(109,L151),
IF(SUBTOTAL(109,L150)&gt;0,SUBTOTAL(109,L150),
IF(SUBTOTAL(109,L149)&gt;0,SUBTOTAL(109,L149),
))))))))))))),1,0)</f>
        <v>1</v>
      </c>
      <c r="B162" s="971">
        <f>IF(AND(Расходы_4[[#This Row],[КЦ]]="14561Э",M161="14561Т"),1,
IF(Расходы_4[[#This Row],[КЦ]]&gt;=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IF(SUBTOTAL(109,M151)&gt;0,SUBTOTAL(109,M151),
IF(SUBTOTAL(109,M150)&gt;0,SUBTOTAL(109,M150),
IF(SUBTOTAL(109,M149)&gt;0,SUBTOTAL(109,M149),
))))))))))))),1,0))</f>
        <v>1</v>
      </c>
      <c r="C162" s="971">
        <f>IF(Расходы_4[[#This Row],[КОСГУ]]&gt;=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IF(SUBTOTAL(109,N151)&gt;0,SUBTOTAL(109,N151),
IF(SUBTOTAL(109,N150)&gt;0,SUBTOTAL(109,N150),
IF(SUBTOTAL(109,N149)&gt;0,SUBTOTAL(109,N149),
))))))))))))),1,0)</f>
        <v>1</v>
      </c>
      <c r="D162" s="971">
        <f>IF(Расходы_4[[#This Row],[КВР]]&gt;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IF(SUBTOTAL(109,L151)&gt;0,SUBTOTAL(109,L151),
IF(SUBTOTAL(109,L150)&gt;0,SUBTOTAL(109,L150),
IF(SUBTOTAL(109,L149)&gt;0,SUBTOTAL(109,L149),
))))))))))))),1,0)</f>
        <v>0</v>
      </c>
      <c r="E162" s="971">
        <f>IF(AND(Расходы_4[[#This Row],[КЦ]]="14561Э",M161="14561Т"),1,
IF(Расходы_4[[#This Row],[КЦ]]&gt;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IF(SUBTOTAL(109,M151)&gt;0,SUBTOTAL(109,M151),
IF(SUBTOTAL(109,M150)&gt;0,SUBTOTAL(109,M150),
IF(SUBTOTAL(109,M149)&gt;0,SUBTOTAL(109,M149),
))))))))))))),1,0))</f>
        <v>0</v>
      </c>
      <c r="F162" s="971">
        <f>IF(Расходы_4[[#This Row],[КОСГУ]]&gt;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IF(SUBTOTAL(109,N151)&gt;0,SUBTOTAL(109,N151),
IF(SUBTOTAL(109,N150)&gt;0,SUBTOTAL(109,N150),
IF(SUBTOTAL(109,N149)&gt;0,SUBTOTAL(109,N149),
))))))))))))),1,0)</f>
        <v>1</v>
      </c>
      <c r="G162" s="971" t="e">
        <f ca="1">_xlfn.AGGREGATE(9,5,$D$139:D162)</f>
        <v>#NAME?</v>
      </c>
      <c r="H162" s="971" t="e">
        <f ca="1">_xlfn.AGGREGATE(9,5,$E$139:E162)</f>
        <v>#NAME?</v>
      </c>
      <c r="I162" s="971" t="e">
        <f ca="1">_xlfn.AGGREGATE(9,5,$F$139:F162)</f>
        <v>#NAME?</v>
      </c>
      <c r="J162" s="968" t="str">
        <f>IF(SUM(Расходы_4[[#This Row],[2 025]:[2 027]])=0,"000",".")</f>
        <v>.</v>
      </c>
      <c r="K162" s="965">
        <v>4</v>
      </c>
      <c r="L162" s="908">
        <v>244</v>
      </c>
      <c r="M162" s="1266">
        <v>16561</v>
      </c>
      <c r="N162" s="1419">
        <v>226</v>
      </c>
      <c r="O162" s="1418">
        <v>159070</v>
      </c>
      <c r="P162" s="1418">
        <v>159070</v>
      </c>
      <c r="Q162" s="1418">
        <v>159070</v>
      </c>
      <c r="R162" s="1281" t="s">
        <v>1013</v>
      </c>
      <c r="S162" s="1128"/>
      <c r="Y162" s="959"/>
      <c r="Z162" s="959"/>
      <c r="AA162" s="959"/>
      <c r="AB162" s="963"/>
      <c r="AE162" s="50">
        <f>COUNT(102,$AF$115:AF138)-1</f>
        <v>24</v>
      </c>
      <c r="AF162" s="50">
        <v>1</v>
      </c>
    </row>
    <row r="163" spans="1:32" ht="20.25" customHeight="1">
      <c r="A163" s="971">
        <f>IF(Расходы_4[[#This Row],[КВР]]&gt;=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IF(SUBTOTAL(109,L151)&gt;0,SUBTOTAL(109,L151),
IF(SUBTOTAL(109,L150)&gt;0,SUBTOTAL(109,L150),
))))))))))))),1,0)</f>
        <v>1</v>
      </c>
      <c r="B163" s="971">
        <f>IF(AND(Расходы_4[[#This Row],[КЦ]]="14561Э",M162="14561Т"),1,
IF(Расходы_4[[#This Row],[КЦ]]&gt;=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IF(SUBTOTAL(109,M151)&gt;0,SUBTOTAL(109,M151),
IF(SUBTOTAL(109,M150)&gt;0,SUBTOTAL(109,M150),
))))))))))))),1,0))</f>
        <v>1</v>
      </c>
      <c r="C163" s="971">
        <f>IF(Расходы_4[[#This Row],[КОСГУ]]&gt;=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IF(SUBTOTAL(109,N151)&gt;0,SUBTOTAL(109,N151),
IF(SUBTOTAL(109,N150)&gt;0,SUBTOTAL(109,N150),
))))))))))))),1,0)</f>
        <v>1</v>
      </c>
      <c r="D163" s="971">
        <f>IF(Расходы_4[[#This Row],[КВР]]&gt;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IF(SUBTOTAL(109,L151)&gt;0,SUBTOTAL(109,L151),
IF(SUBTOTAL(109,L150)&gt;0,SUBTOTAL(109,L150),
))))))))))))),1,0)</f>
        <v>0</v>
      </c>
      <c r="E163" s="971">
        <f>IF(AND(Расходы_4[[#This Row],[КЦ]]="14561Э",M162="14561Т"),1,
IF(Расходы_4[[#This Row],[КЦ]]&gt;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IF(SUBTOTAL(109,M151)&gt;0,SUBTOTAL(109,M151),
IF(SUBTOTAL(109,M150)&gt;0,SUBTOTAL(109,M150),
))))))))))))),1,0))</f>
        <v>0</v>
      </c>
      <c r="F163" s="971">
        <f>IF(Расходы_4[[#This Row],[КОСГУ]]&gt;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IF(SUBTOTAL(109,N151)&gt;0,SUBTOTAL(109,N151),
IF(SUBTOTAL(109,N150)&gt;0,SUBTOTAL(109,N150),
))))))))))))),1,0)</f>
        <v>0</v>
      </c>
      <c r="G163" s="971" t="e">
        <f ca="1">_xlfn.AGGREGATE(9,5,$D$139:D163)</f>
        <v>#NAME?</v>
      </c>
      <c r="H163" s="971" t="e">
        <f ca="1">_xlfn.AGGREGATE(9,5,$E$139:E163)</f>
        <v>#NAME?</v>
      </c>
      <c r="I163" s="971" t="e">
        <f ca="1">_xlfn.AGGREGATE(9,5,$F$139:F163)</f>
        <v>#NAME?</v>
      </c>
      <c r="J163" s="968" t="str">
        <f>IF(SUM(Расходы_4[[#This Row],[2 025]:[2 027]])=0,"000",".")</f>
        <v>000</v>
      </c>
      <c r="K163" s="965">
        <v>4</v>
      </c>
      <c r="L163" s="908">
        <v>244</v>
      </c>
      <c r="M163" s="908">
        <v>16561</v>
      </c>
      <c r="N163" s="908">
        <v>226</v>
      </c>
      <c r="O163" s="1309"/>
      <c r="P163" s="1376"/>
      <c r="Q163" s="1321"/>
      <c r="R163" s="1281" t="s">
        <v>276</v>
      </c>
      <c r="S163" s="1128"/>
      <c r="Y163" s="959"/>
      <c r="Z163" s="959"/>
      <c r="AA163" s="959"/>
      <c r="AB163" s="963"/>
      <c r="AE163" s="50">
        <f>COUNT(102,$AF$115:AF139)-1</f>
        <v>25</v>
      </c>
      <c r="AF163" s="50">
        <v>1</v>
      </c>
    </row>
    <row r="164" spans="1:32" ht="20.25" customHeight="1">
      <c r="A164" s="971">
        <f>IF(Расходы_4[[#This Row],[КВР]]&gt;=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IF(SUBTOTAL(109,L151)&gt;0,SUBTOTAL(109,L151),
))))))))))))),1,0)</f>
        <v>1</v>
      </c>
      <c r="B164" s="971">
        <f>IF(AND(Расходы_4[[#This Row],[КЦ]]="14561Э",M163="14561Т"),1,
IF(Расходы_4[[#This Row],[КЦ]]&gt;=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IF(SUBTOTAL(109,M151)&gt;0,SUBTOTAL(109,M151),
))))))))))))),1,0))</f>
        <v>1</v>
      </c>
      <c r="C164" s="971">
        <f>IF(Расходы_4[[#This Row],[КОСГУ]]&gt;=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IF(SUBTOTAL(109,N151)&gt;0,SUBTOTAL(109,N151),
))))))))))))),1,0)</f>
        <v>1</v>
      </c>
      <c r="D164" s="971">
        <f>IF(Расходы_4[[#This Row],[КВР]]&gt;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IF(SUBTOTAL(109,L151)&gt;0,SUBTOTAL(109,L151),
))))))))))))),1,0)</f>
        <v>0</v>
      </c>
      <c r="E164" s="971">
        <f>IF(AND(Расходы_4[[#This Row],[КЦ]]="14561Э",M163="14561Т"),1,
IF(Расходы_4[[#This Row],[КЦ]]&gt;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IF(SUBTOTAL(109,M151)&gt;0,SUBTOTAL(109,M151),
))))))))))))),1,0))</f>
        <v>0</v>
      </c>
      <c r="F164" s="971">
        <f>IF(Расходы_4[[#This Row],[КОСГУ]]&gt;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IF(SUBTOTAL(109,N151)&gt;0,SUBTOTAL(109,N151),
))))))))))))),1,0)</f>
        <v>0</v>
      </c>
      <c r="G164" s="971" t="e">
        <f ca="1">_xlfn.AGGREGATE(9,5,$D$139:D164)</f>
        <v>#NAME?</v>
      </c>
      <c r="H164" s="971" t="e">
        <f ca="1">_xlfn.AGGREGATE(9,5,$E$139:E164)</f>
        <v>#NAME?</v>
      </c>
      <c r="I164" s="971" t="e">
        <f ca="1">_xlfn.AGGREGATE(9,5,$F$139:F164)</f>
        <v>#NAME?</v>
      </c>
      <c r="J164" s="968" t="str">
        <f>IF(SUM(Расходы_4[[#This Row],[2 025]:[2 027]])=0,"000",".")</f>
        <v>000</v>
      </c>
      <c r="K164" s="965">
        <v>4</v>
      </c>
      <c r="L164" s="908">
        <v>244</v>
      </c>
      <c r="M164" s="908">
        <v>16561</v>
      </c>
      <c r="N164" s="908">
        <v>226</v>
      </c>
      <c r="O164" s="1341"/>
      <c r="P164" s="1375"/>
      <c r="Q164" s="1349"/>
      <c r="R164" s="1281" t="s">
        <v>596</v>
      </c>
      <c r="S164" s="1128"/>
      <c r="Y164" s="959"/>
      <c r="Z164" s="959"/>
      <c r="AA164" s="959"/>
      <c r="AB164" s="963"/>
      <c r="AE164" s="50">
        <f>COUNT(102,$AF$115:AF140)-1</f>
        <v>26</v>
      </c>
      <c r="AF164" s="50">
        <v>1</v>
      </c>
    </row>
    <row r="165" spans="1:32" ht="20.25" customHeight="1">
      <c r="A165" s="971">
        <f>IF(Расходы_4[[#This Row],[КВР]]&gt;=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))))))))))))),1,0)</f>
        <v>1</v>
      </c>
      <c r="B165" s="971">
        <f>IF(AND(Расходы_4[[#This Row],[КЦ]]="14561Э",M164="14561Т"),1,
IF(Расходы_4[[#This Row],[КЦ]]&gt;=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))))))))))))),1,0))</f>
        <v>1</v>
      </c>
      <c r="C165" s="971">
        <f>IF(Расходы_4[[#This Row],[КОСГУ]]&gt;=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))))))))))))),1,0)</f>
        <v>1</v>
      </c>
      <c r="D165" s="971">
        <f>IF(Расходы_4[[#This Row],[КВР]]&gt;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IF(SUBTOTAL(109,L152)&gt;0,SUBTOTAL(109,L152),
))))))))))))),1,0)</f>
        <v>0</v>
      </c>
      <c r="E165" s="971">
        <f>IF(AND(Расходы_4[[#This Row],[КЦ]]="14561Э",M164="14561Т"),1,
IF(Расходы_4[[#This Row],[КЦ]]&gt;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IF(SUBTOTAL(109,M152)&gt;0,SUBTOTAL(109,M152),
))))))))))))),1,0))</f>
        <v>0</v>
      </c>
      <c r="F165" s="971">
        <f>IF(Расходы_4[[#This Row],[КОСГУ]]&gt;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IF(SUBTOTAL(109,N152)&gt;0,SUBTOTAL(109,N152),
))))))))))))),1,0)</f>
        <v>1</v>
      </c>
      <c r="G165" s="971" t="e">
        <f ca="1">_xlfn.AGGREGATE(9,5,$D$139:D165)</f>
        <v>#NAME?</v>
      </c>
      <c r="H165" s="971" t="e">
        <f ca="1">_xlfn.AGGREGATE(9,5,$E$139:E165)</f>
        <v>#NAME?</v>
      </c>
      <c r="I165" s="971" t="e">
        <f ca="1">_xlfn.AGGREGATE(9,5,$F$139:F165)</f>
        <v>#NAME?</v>
      </c>
      <c r="J165" s="968" t="str">
        <f>IF(SUM(Расходы_4[[#This Row],[2 025]:[2 027]])=0,"000",".")</f>
        <v>000</v>
      </c>
      <c r="K165" s="965">
        <v>4</v>
      </c>
      <c r="L165" s="908">
        <v>244</v>
      </c>
      <c r="M165" s="908">
        <v>16561</v>
      </c>
      <c r="N165" s="908">
        <v>227</v>
      </c>
      <c r="O165" s="1341"/>
      <c r="P165" s="1375"/>
      <c r="Q165" s="1349"/>
      <c r="R165" s="1281" t="s">
        <v>245</v>
      </c>
      <c r="S165" s="1128"/>
      <c r="Y165" s="959"/>
      <c r="Z165" s="959"/>
      <c r="AA165" s="959"/>
      <c r="AB165" s="963"/>
      <c r="AE165" s="50">
        <f>COUNT(102,$AF$115:AF141)-1</f>
        <v>27</v>
      </c>
      <c r="AF165" s="50">
        <v>1</v>
      </c>
    </row>
    <row r="166" spans="1:32" ht="20.25" customHeight="1">
      <c r="A166" s="971">
        <f>IF(Расходы_4[[#This Row],[КВР]]&gt;=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))))))))))))),1,0)</f>
        <v>1</v>
      </c>
      <c r="B166" s="971">
        <f>IF(AND(Расходы_4[[#This Row],[КЦ]]="14561Э",M165="14561Т"),1,
IF(Расходы_4[[#This Row],[КЦ]]&gt;=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))))))))))))),1,0))</f>
        <v>1</v>
      </c>
      <c r="C166" s="971">
        <f>IF(Расходы_4[[#This Row],[КОСГУ]]&gt;=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))))))))))))),1,0)</f>
        <v>1</v>
      </c>
      <c r="D166" s="971">
        <f>IF(Расходы_4[[#This Row],[КВР]]&gt;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IF(SUBTOTAL(109,L153)&gt;0,SUBTOTAL(109,L153),
))))))))))))),1,0)</f>
        <v>0</v>
      </c>
      <c r="E166" s="971">
        <f>IF(AND(Расходы_4[[#This Row],[КЦ]]="14561Э",M165="14561Т"),1,
IF(Расходы_4[[#This Row],[КЦ]]&gt;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IF(SUBTOTAL(109,M153)&gt;0,SUBTOTAL(109,M153),
))))))))))))),1,0))</f>
        <v>0</v>
      </c>
      <c r="F166" s="971">
        <f>IF(Расходы_4[[#This Row],[КОСГУ]]&gt;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IF(SUBTOTAL(109,N153)&gt;0,SUBTOTAL(109,N153),
))))))))))))),1,0)</f>
        <v>1</v>
      </c>
      <c r="G166" s="971" t="e">
        <f ca="1">_xlfn.AGGREGATE(9,5,$D$139:D166)</f>
        <v>#NAME?</v>
      </c>
      <c r="H166" s="971" t="e">
        <f ca="1">_xlfn.AGGREGATE(9,5,$E$139:E166)</f>
        <v>#NAME?</v>
      </c>
      <c r="I166" s="971" t="e">
        <f ca="1">_xlfn.AGGREGATE(9,5,$F$139:F166)</f>
        <v>#NAME?</v>
      </c>
      <c r="J166" s="968" t="str">
        <f>IF(SUM(Расходы_4[[#This Row],[2 025]:[2 027]])=0,"000",".")</f>
        <v>000</v>
      </c>
      <c r="K166" s="965">
        <v>4</v>
      </c>
      <c r="L166" s="908">
        <v>244</v>
      </c>
      <c r="M166" s="908">
        <v>16561</v>
      </c>
      <c r="N166" s="908">
        <v>228</v>
      </c>
      <c r="O166" s="1341"/>
      <c r="P166" s="1375"/>
      <c r="Q166" s="1349"/>
      <c r="R166" s="1281" t="s">
        <v>246</v>
      </c>
      <c r="S166" s="1128"/>
      <c r="Y166" s="959"/>
      <c r="Z166" s="959"/>
      <c r="AA166" s="959"/>
      <c r="AB166" s="963"/>
      <c r="AE166" s="50">
        <f>COUNT(102,$AF$115:AF142)-1</f>
        <v>28</v>
      </c>
      <c r="AF166" s="50">
        <v>1</v>
      </c>
    </row>
    <row r="167" spans="1:32" ht="20.25" customHeight="1">
      <c r="A167" s="971">
        <f>IF(Расходы_4[[#This Row],[КВР]]&gt;=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))))))))))))),1,0)</f>
        <v>1</v>
      </c>
      <c r="B167" s="971">
        <f>IF(AND(Расходы_4[[#This Row],[КЦ]]="14561Э",M166="14561Т"),1,
IF(Расходы_4[[#This Row],[КЦ]]&gt;=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))))))))))))),1,0))</f>
        <v>1</v>
      </c>
      <c r="C167" s="971">
        <f>IF(Расходы_4[[#This Row],[КОСГУ]]&gt;=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))))))))))))),1,0)</f>
        <v>1</v>
      </c>
      <c r="D167" s="971">
        <f>IF(Расходы_4[[#This Row],[КВР]]&gt;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IF(SUBTOTAL(109,L154)&gt;0,SUBTOTAL(109,L154),
))))))))))))),1,0)</f>
        <v>0</v>
      </c>
      <c r="E167" s="971">
        <f>IF(AND(Расходы_4[[#This Row],[КЦ]]="14561Э",M166="14561Т"),1,
IF(Расходы_4[[#This Row],[КЦ]]&gt;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IF(SUBTOTAL(109,M154)&gt;0,SUBTOTAL(109,M154),
))))))))))))),1,0))</f>
        <v>0</v>
      </c>
      <c r="F167" s="971">
        <f>IF(Расходы_4[[#This Row],[КОСГУ]]&gt;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IF(SUBTOTAL(109,N154)&gt;0,SUBTOTAL(109,N154),
))))))))))))),1,0)</f>
        <v>1</v>
      </c>
      <c r="G167" s="971" t="e">
        <f ca="1">_xlfn.AGGREGATE(9,5,$D$139:D167)</f>
        <v>#NAME?</v>
      </c>
      <c r="H167" s="971" t="e">
        <f ca="1">_xlfn.AGGREGATE(9,5,$E$139:E167)</f>
        <v>#NAME?</v>
      </c>
      <c r="I167" s="971" t="e">
        <f ca="1">_xlfn.AGGREGATE(9,5,$F$139:F167)</f>
        <v>#NAME?</v>
      </c>
      <c r="J167" s="968" t="str">
        <f>IF(SUM(Расходы_4[[#This Row],[2 025]:[2 027]])=0,"000",".")</f>
        <v>000</v>
      </c>
      <c r="K167" s="965">
        <v>4</v>
      </c>
      <c r="L167" s="908">
        <v>244</v>
      </c>
      <c r="M167" s="908">
        <v>16561</v>
      </c>
      <c r="N167" s="908">
        <v>341</v>
      </c>
      <c r="O167" s="1341"/>
      <c r="P167" s="1375"/>
      <c r="Q167" s="1349"/>
      <c r="R167" s="1281" t="s">
        <v>247</v>
      </c>
      <c r="S167" s="1128"/>
      <c r="Y167" s="959"/>
      <c r="Z167" s="959"/>
      <c r="AA167" s="959"/>
      <c r="AB167" s="963"/>
      <c r="AE167" s="50">
        <f>COUNT(102,$AF$115:AF143)-1</f>
        <v>29</v>
      </c>
      <c r="AF167" s="50">
        <v>1</v>
      </c>
    </row>
    <row r="168" spans="1:32" ht="20.25" customHeight="1">
      <c r="A168" s="971">
        <f>IF(Расходы_4[[#This Row],[КВР]]&gt;=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))))))))))))),1,0)</f>
        <v>1</v>
      </c>
      <c r="B168" s="971">
        <f>IF(AND(Расходы_4[[#This Row],[КЦ]]="14561Э",M167="14561Т"),1,
IF(Расходы_4[[#This Row],[КЦ]]&gt;=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))))))))))))),1,0))</f>
        <v>1</v>
      </c>
      <c r="C168" s="971">
        <f>IF(Расходы_4[[#This Row],[КОСГУ]]&gt;=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))))))))))))),1,0)</f>
        <v>1</v>
      </c>
      <c r="D168" s="971">
        <f>IF(Расходы_4[[#This Row],[КВР]]&gt;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IF(SUBTOTAL(109,L155)&gt;0,SUBTOTAL(109,L155),
))))))))))))),1,0)</f>
        <v>0</v>
      </c>
      <c r="E168" s="971">
        <f>IF(AND(Расходы_4[[#This Row],[КЦ]]="14561Э",M167="14561Т"),1,
IF(Расходы_4[[#This Row],[КЦ]]&gt;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IF(SUBTOTAL(109,M155)&gt;0,SUBTOTAL(109,M155),
))))))))))))),1,0))</f>
        <v>0</v>
      </c>
      <c r="F168" s="971">
        <f>IF(Расходы_4[[#This Row],[КОСГУ]]&gt;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IF(SUBTOTAL(109,N155)&gt;0,SUBTOTAL(109,N155),
))))))))))))),1,0)</f>
        <v>1</v>
      </c>
      <c r="G168" s="971" t="e">
        <f ca="1">_xlfn.AGGREGATE(9,5,$D$139:D168)</f>
        <v>#NAME?</v>
      </c>
      <c r="H168" s="971" t="e">
        <f ca="1">_xlfn.AGGREGATE(9,5,$E$139:E168)</f>
        <v>#NAME?</v>
      </c>
      <c r="I168" s="971" t="e">
        <f ca="1">_xlfn.AGGREGATE(9,5,$F$139:F168)</f>
        <v>#NAME?</v>
      </c>
      <c r="J168" s="968" t="str">
        <f>IF(SUM(Расходы_4[[#This Row],[2 025]:[2 027]])=0,"000",".")</f>
        <v>000</v>
      </c>
      <c r="K168" s="965">
        <v>4</v>
      </c>
      <c r="L168" s="908">
        <v>244</v>
      </c>
      <c r="M168" s="908">
        <v>16561</v>
      </c>
      <c r="N168" s="908">
        <v>342</v>
      </c>
      <c r="O168" s="1341"/>
      <c r="P168" s="1375"/>
      <c r="Q168" s="1349"/>
      <c r="R168" s="1281" t="s">
        <v>248</v>
      </c>
      <c r="S168" s="1128"/>
      <c r="Y168" s="959"/>
      <c r="Z168" s="959"/>
      <c r="AA168" s="959"/>
      <c r="AB168" s="963"/>
      <c r="AE168" s="50">
        <f>COUNT(102,$AF$115:AF144)-1</f>
        <v>30</v>
      </c>
      <c r="AF168" s="50">
        <v>1</v>
      </c>
    </row>
    <row r="169" spans="1:32" ht="20.25" customHeight="1">
      <c r="A169" s="971">
        <f>IF(Расходы_4[[#This Row],[КВР]]&gt;=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))))))))))))),1,0)</f>
        <v>1</v>
      </c>
      <c r="B169" s="971">
        <f>IF(AND(Расходы_4[[#This Row],[КЦ]]="14561Э",M168="14561Т"),1,
IF(Расходы_4[[#This Row],[КЦ]]&gt;=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))))))))))))),1,0))</f>
        <v>1</v>
      </c>
      <c r="C169" s="971">
        <f>IF(Расходы_4[[#This Row],[КОСГУ]]&gt;=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))))))))))))),1,0)</f>
        <v>1</v>
      </c>
      <c r="D169" s="971">
        <f>IF(Расходы_4[[#This Row],[КВР]]&gt;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IF(SUBTOTAL(109,L156)&gt;0,SUBTOTAL(109,L156),
))))))))))))),1,0)</f>
        <v>0</v>
      </c>
      <c r="E169" s="971">
        <f>IF(AND(Расходы_4[[#This Row],[КЦ]]="14561Э",M168="14561Т"),1,
IF(Расходы_4[[#This Row],[КЦ]]&gt;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IF(SUBTOTAL(109,M156)&gt;0,SUBTOTAL(109,M156),
))))))))))))),1,0))</f>
        <v>0</v>
      </c>
      <c r="F169" s="971">
        <f>IF(Расходы_4[[#This Row],[КОСГУ]]&gt;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IF(SUBTOTAL(109,N156)&gt;0,SUBTOTAL(109,N156),
))))))))))))),1,0)</f>
        <v>1</v>
      </c>
      <c r="G169" s="971" t="e">
        <f ca="1">_xlfn.AGGREGATE(9,5,$D$139:D169)</f>
        <v>#NAME?</v>
      </c>
      <c r="H169" s="971" t="e">
        <f ca="1">_xlfn.AGGREGATE(9,5,$E$139:E169)</f>
        <v>#NAME?</v>
      </c>
      <c r="I169" s="971" t="e">
        <f ca="1">_xlfn.AGGREGATE(9,5,$F$139:F169)</f>
        <v>#NAME?</v>
      </c>
      <c r="J169" s="968" t="str">
        <f>IF(SUM(Расходы_4[[#This Row],[2 025]:[2 027]])=0,"000",".")</f>
        <v>000</v>
      </c>
      <c r="K169" s="965">
        <v>4</v>
      </c>
      <c r="L169" s="908">
        <v>244</v>
      </c>
      <c r="M169" s="908">
        <v>16561</v>
      </c>
      <c r="N169" s="908">
        <v>343</v>
      </c>
      <c r="O169" s="1341"/>
      <c r="P169" s="1375"/>
      <c r="Q169" s="1349"/>
      <c r="R169" s="1281" t="s">
        <v>249</v>
      </c>
      <c r="S169" s="1128"/>
      <c r="Y169" s="959"/>
      <c r="Z169" s="959"/>
      <c r="AA169" s="959"/>
      <c r="AB169" s="963"/>
      <c r="AE169" s="50">
        <f>COUNT(102,$AF$115:AF145)-1</f>
        <v>31</v>
      </c>
      <c r="AF169" s="50">
        <v>1</v>
      </c>
    </row>
    <row r="170" spans="1:32" ht="20.25" customHeight="1">
      <c r="A170" s="971">
        <f>IF(Расходы_4[[#This Row],[КВР]]&gt;=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))))))))))))),1,0)</f>
        <v>1</v>
      </c>
      <c r="B170" s="971">
        <f>IF(AND(Расходы_4[[#This Row],[КЦ]]="14561Э",M169="14561Т"),1,
IF(Расходы_4[[#This Row],[КЦ]]&gt;=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))))))))))))),1,0))</f>
        <v>1</v>
      </c>
      <c r="C170" s="971">
        <f>IF(Расходы_4[[#This Row],[КОСГУ]]&gt;=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))))))))))))),1,0)</f>
        <v>1</v>
      </c>
      <c r="D170" s="971">
        <f>IF(Расходы_4[[#This Row],[КВР]]&gt;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IF(SUBTOTAL(109,L157)&gt;0,SUBTOTAL(109,L157),
))))))))))))),1,0)</f>
        <v>0</v>
      </c>
      <c r="E170" s="971">
        <f>IF(AND(Расходы_4[[#This Row],[КЦ]]="14561Э",M169="14561Т"),1,
IF(Расходы_4[[#This Row],[КЦ]]&gt;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IF(SUBTOTAL(109,M157)&gt;0,SUBTOTAL(109,M157),
))))))))))))),1,0))</f>
        <v>0</v>
      </c>
      <c r="F170" s="971">
        <f>IF(Расходы_4[[#This Row],[КОСГУ]]&gt;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IF(SUBTOTAL(109,N157)&gt;0,SUBTOTAL(109,N157),
))))))))))))),1,0)</f>
        <v>1</v>
      </c>
      <c r="G170" s="971" t="e">
        <f ca="1">_xlfn.AGGREGATE(9,5,$D$139:D170)</f>
        <v>#NAME?</v>
      </c>
      <c r="H170" s="971" t="e">
        <f ca="1">_xlfn.AGGREGATE(9,5,$E$139:E170)</f>
        <v>#NAME?</v>
      </c>
      <c r="I170" s="971" t="e">
        <f ca="1">_xlfn.AGGREGATE(9,5,$F$139:F170)</f>
        <v>#NAME?</v>
      </c>
      <c r="J170" s="968" t="str">
        <f>IF(SUM(Расходы_4[[#This Row],[2 025]:[2 027]])=0,"000",".")</f>
        <v>000</v>
      </c>
      <c r="K170" s="965">
        <v>4</v>
      </c>
      <c r="L170" s="908">
        <v>244</v>
      </c>
      <c r="M170" s="908">
        <v>16561</v>
      </c>
      <c r="N170" s="908">
        <v>344</v>
      </c>
      <c r="O170" s="1341"/>
      <c r="P170" s="1375"/>
      <c r="Q170" s="1349"/>
      <c r="R170" s="1281" t="s">
        <v>250</v>
      </c>
      <c r="S170" s="1128"/>
      <c r="Y170" s="959"/>
      <c r="Z170" s="959"/>
      <c r="AA170" s="959"/>
      <c r="AB170" s="963"/>
      <c r="AE170" s="50">
        <f>COUNT(102,$AF$115:AF146)-1</f>
        <v>32</v>
      </c>
      <c r="AF170" s="50">
        <v>1</v>
      </c>
    </row>
    <row r="171" spans="1:32" ht="20.25" customHeight="1" thickBot="1">
      <c r="A171" s="971">
        <f>IF(Расходы_4[[#This Row],[КВР]]&gt;=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))))))))))))),1,0)</f>
        <v>1</v>
      </c>
      <c r="B171" s="971">
        <f>IF(AND(Расходы_4[[#This Row],[КЦ]]="14561Э",M170="14561Т"),1,
IF(Расходы_4[[#This Row],[КЦ]]&gt;=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))))))))))))),1,0))</f>
        <v>1</v>
      </c>
      <c r="C171" s="971">
        <f>IF(Расходы_4[[#This Row],[КОСГУ]]&gt;=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))))))))))))),1,0)</f>
        <v>1</v>
      </c>
      <c r="D171" s="971">
        <f>IF(Расходы_4[[#This Row],[КВР]]&gt;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IF(SUBTOTAL(109,L158)&gt;0,SUBTOTAL(109,L158),
))))))))))))),1,0)</f>
        <v>0</v>
      </c>
      <c r="E171" s="971">
        <f>IF(AND(Расходы_4[[#This Row],[КЦ]]="14561Э",M170="14561Т"),1,
IF(Расходы_4[[#This Row],[КЦ]]&gt;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IF(SUBTOTAL(109,M158)&gt;0,SUBTOTAL(109,M158),
))))))))))))),1,0))</f>
        <v>0</v>
      </c>
      <c r="F171" s="971">
        <f>IF(Расходы_4[[#This Row],[КОСГУ]]&gt;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IF(SUBTOTAL(109,N158)&gt;0,SUBTOTAL(109,N158),
))))))))))))),1,0)</f>
        <v>1</v>
      </c>
      <c r="G171" s="971" t="e">
        <f ca="1">_xlfn.AGGREGATE(9,5,$D$139:D171)</f>
        <v>#NAME?</v>
      </c>
      <c r="H171" s="971" t="e">
        <f ca="1">_xlfn.AGGREGATE(9,5,$E$139:E171)</f>
        <v>#NAME?</v>
      </c>
      <c r="I171" s="971" t="e">
        <f ca="1">_xlfn.AGGREGATE(9,5,$F$139:F171)</f>
        <v>#NAME?</v>
      </c>
      <c r="J171" s="968" t="str">
        <f>IF(SUM(Расходы_4[[#This Row],[2 025]:[2 027]])=0,"000",".")</f>
        <v>000</v>
      </c>
      <c r="K171" s="965">
        <v>4</v>
      </c>
      <c r="L171" s="908">
        <v>244</v>
      </c>
      <c r="M171" s="909">
        <v>16561</v>
      </c>
      <c r="N171" s="909">
        <v>345</v>
      </c>
      <c r="O171" s="1342"/>
      <c r="P171" s="1377"/>
      <c r="Q171" s="1350"/>
      <c r="R171" s="1281" t="s">
        <v>251</v>
      </c>
      <c r="S171" s="1128"/>
      <c r="Y171" s="959"/>
      <c r="Z171" s="959"/>
      <c r="AA171" s="959"/>
      <c r="AB171" s="963"/>
      <c r="AE171" s="50">
        <f>COUNT(102,$AF$115:AF147)-1</f>
        <v>33</v>
      </c>
      <c r="AF171" s="50">
        <v>1</v>
      </c>
    </row>
    <row r="172" spans="1:32" ht="20.25" customHeight="1" thickBot="1">
      <c r="A172" s="971">
        <f>IF(Расходы_4[[#This Row],[КВР]]&gt;=
IF(SUBTOTAL(109,L171)&gt;0,SUBTOTAL(109,L171),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))))))))))))),1,0)</f>
        <v>1</v>
      </c>
      <c r="B172" s="971">
        <f>IF(AND(Расходы_4[[#This Row],[КЦ]]="14561Э",M171="14561Т"),1,
IF(Расходы_4[[#This Row],[КЦ]]&gt;=
IF(SUBTOTAL(109,M171)&gt;0,SUBTOTAL(109,M171),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))))))))))))),1,0))</f>
        <v>1</v>
      </c>
      <c r="C172" s="971">
        <f>IF(Расходы_4[[#This Row],[КОСГУ]]&gt;=
IF(SUBTOTAL(109,N171)&gt;0,SUBTOTAL(109,N171),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))))))))))))),1,0)</f>
        <v>1</v>
      </c>
      <c r="D172" s="971">
        <f>IF(Расходы_4[[#This Row],[КВР]]&gt;
IF(SUBTOTAL(109,L171)&gt;0,SUBTOTAL(109,L171),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IF(SUBTOTAL(109,L159)&gt;0,SUBTOTAL(109,L159),
))))))))))))),1,0)</f>
        <v>0</v>
      </c>
      <c r="E172" s="971">
        <f>IF(AND(Расходы_4[[#This Row],[КЦ]]="14561Э",M171="14561Т"),1,
IF(Расходы_4[[#This Row],[КЦ]]&gt;
IF(SUBTOTAL(109,M171)&gt;0,SUBTOTAL(109,M171),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IF(SUBTOTAL(109,M159)&gt;0,SUBTOTAL(109,M159),
))))))))))))),1,0))</f>
        <v>0</v>
      </c>
      <c r="F172" s="971">
        <f>IF(Расходы_4[[#This Row],[КОСГУ]]&gt;
IF(SUBTOTAL(109,N171)&gt;0,SUBTOTAL(109,N171),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IF(SUBTOTAL(109,N159)&gt;0,SUBTOTAL(109,N159),
))))))))))))),1,0)</f>
        <v>1</v>
      </c>
      <c r="G172" s="971" t="e">
        <f ca="1">_xlfn.AGGREGATE(9,5,$D$139:D172)</f>
        <v>#NAME?</v>
      </c>
      <c r="H172" s="971" t="e">
        <f ca="1">_xlfn.AGGREGATE(9,5,$E$139:E172)</f>
        <v>#NAME?</v>
      </c>
      <c r="I172" s="971" t="e">
        <f ca="1">_xlfn.AGGREGATE(9,5,$F$139:F172)</f>
        <v>#NAME?</v>
      </c>
      <c r="J172" s="968" t="str">
        <f>IF(SUM(Расходы_4[[#This Row],[2 025]:[2 027]])=0,"000",".")</f>
        <v>.</v>
      </c>
      <c r="K172" s="965">
        <v>4</v>
      </c>
      <c r="L172" s="1420">
        <v>244</v>
      </c>
      <c r="M172" s="1301">
        <v>16561</v>
      </c>
      <c r="N172" s="1272">
        <v>346</v>
      </c>
      <c r="O172" s="1417">
        <f>29700+173030.06</f>
        <v>202730.06</v>
      </c>
      <c r="P172" s="1417">
        <v>29700</v>
      </c>
      <c r="Q172" s="1292">
        <v>29700</v>
      </c>
      <c r="R172" s="1281" t="s">
        <v>252</v>
      </c>
      <c r="S172" s="1128"/>
      <c r="Y172" s="959"/>
      <c r="Z172" s="959"/>
      <c r="AA172" s="959"/>
      <c r="AB172" s="963"/>
      <c r="AE172" s="50">
        <f>COUNT(102,$AF$115:AF148)-1</f>
        <v>34</v>
      </c>
      <c r="AF172" s="50">
        <v>1</v>
      </c>
    </row>
    <row r="173" spans="1:32" ht="20.25" customHeight="1">
      <c r="A173" s="971">
        <f>IF(Расходы_4[[#This Row],[КВР]]&gt;=
IF(SUBTOTAL(109,L172)&gt;0,SUBTOTAL(109,L172),
IF(SUBTOTAL(109,L171)&gt;0,SUBTOTAL(109,L171),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))))))))))))),1,0)</f>
        <v>1</v>
      </c>
      <c r="B173" s="971">
        <f>IF(AND(Расходы_4[[#This Row],[КЦ]]="14561Э",M172="14561Т"),1,
IF(Расходы_4[[#This Row],[КЦ]]&gt;=
IF(SUBTOTAL(109,M172)&gt;0,SUBTOTAL(109,M172),
IF(SUBTOTAL(109,M171)&gt;0,SUBTOTAL(109,M171),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))))))))))))),1,0))</f>
        <v>1</v>
      </c>
      <c r="C173" s="971">
        <f>IF(Расходы_4[[#This Row],[КОСГУ]]&gt;=
IF(SUBTOTAL(109,N172)&gt;0,SUBTOTAL(109,N172),
IF(SUBTOTAL(109,N171)&gt;0,SUBTOTAL(109,N171),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))))))))))))),1,0)</f>
        <v>1</v>
      </c>
      <c r="D173" s="971">
        <f>IF(Расходы_4[[#This Row],[КВР]]&gt;
IF(SUBTOTAL(109,L172)&gt;0,SUBTOTAL(109,L172),
IF(SUBTOTAL(109,L171)&gt;0,SUBTOTAL(109,L171),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IF(SUBTOTAL(109,L160)&gt;0,SUBTOTAL(109,L160),
))))))))))))),1,0)</f>
        <v>0</v>
      </c>
      <c r="E173" s="971">
        <f>IF(AND(Расходы_4[[#This Row],[КЦ]]="14561Э",M172="14561Т"),1,
IF(Расходы_4[[#This Row],[КЦ]]&gt;
IF(SUBTOTAL(109,M172)&gt;0,SUBTOTAL(109,M172),
IF(SUBTOTAL(109,M171)&gt;0,SUBTOTAL(109,M171),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IF(SUBTOTAL(109,M160)&gt;0,SUBTOTAL(109,M160),
))))))))))))),1,0))</f>
        <v>0</v>
      </c>
      <c r="F173" s="971">
        <f>IF(Расходы_4[[#This Row],[КОСГУ]]&gt;
IF(SUBTOTAL(109,N172)&gt;0,SUBTOTAL(109,N172),
IF(SUBTOTAL(109,N171)&gt;0,SUBTOTAL(109,N171),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IF(SUBTOTAL(109,N160)&gt;0,SUBTOTAL(109,N160),
))))))))))))),1,0)</f>
        <v>1</v>
      </c>
      <c r="G173" s="971" t="e">
        <f ca="1">_xlfn.AGGREGATE(9,5,$D$139:D173)</f>
        <v>#NAME?</v>
      </c>
      <c r="H173" s="971" t="e">
        <f ca="1">_xlfn.AGGREGATE(9,5,$E$139:E173)</f>
        <v>#NAME?</v>
      </c>
      <c r="I173" s="971" t="e">
        <f ca="1">_xlfn.AGGREGATE(9,5,$F$139:F173)</f>
        <v>#NAME?</v>
      </c>
      <c r="J173" s="968" t="str">
        <f>IF(SUM(Расходы_4[[#This Row],[2 025]:[2 027]])=0,"000",".")</f>
        <v>000</v>
      </c>
      <c r="K173" s="965">
        <v>4</v>
      </c>
      <c r="L173" s="908">
        <v>244</v>
      </c>
      <c r="M173" s="1266">
        <v>16561</v>
      </c>
      <c r="N173" s="1266">
        <v>347</v>
      </c>
      <c r="O173" s="1344"/>
      <c r="P173" s="1379"/>
      <c r="Q173" s="1352"/>
      <c r="R173" s="1281" t="s">
        <v>253</v>
      </c>
      <c r="S173" s="1128"/>
      <c r="Y173" s="959"/>
      <c r="Z173" s="959"/>
      <c r="AA173" s="959"/>
      <c r="AB173" s="963"/>
      <c r="AE173" s="50">
        <f>COUNT(102,$AF$115:AF149)-1</f>
        <v>35</v>
      </c>
      <c r="AF173" s="50">
        <v>1</v>
      </c>
    </row>
    <row r="174" spans="1:32" ht="20.25" customHeight="1">
      <c r="A174" s="971">
        <f>IF(Расходы_4[[#This Row],[КВР]]&gt;=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))))))))))))),1,0)</f>
        <v>1</v>
      </c>
      <c r="B174" s="971">
        <f>IF(AND(Расходы_4[[#This Row],[КЦ]]="14561Э",M173="14561Т"),1,
IF(Расходы_4[[#This Row],[КЦ]]&gt;=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))))))))))))),1,0))</f>
        <v>1</v>
      </c>
      <c r="C174" s="971">
        <f>IF(Расходы_4[[#This Row],[КОСГУ]]&gt;=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))))))))))))),1,0)</f>
        <v>1</v>
      </c>
      <c r="D174" s="971">
        <f>IF(Расходы_4[[#This Row],[КВР]]&gt;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IF(SUBTOTAL(109,L161)&gt;0,SUBTOTAL(109,L161),
))))))))))))),1,0)</f>
        <v>0</v>
      </c>
      <c r="E174" s="971">
        <f>IF(AND(Расходы_4[[#This Row],[КЦ]]="14561Э",M173="14561Т"),1,
IF(Расходы_4[[#This Row],[КЦ]]&gt;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IF(SUBTOTAL(109,M161)&gt;0,SUBTOTAL(109,M161),
))))))))))))),1,0))</f>
        <v>0</v>
      </c>
      <c r="F174" s="971">
        <f>IF(Расходы_4[[#This Row],[КОСГУ]]&gt;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IF(SUBTOTAL(109,N161)&gt;0,SUBTOTAL(109,N161),
))))))))))))),1,0)</f>
        <v>1</v>
      </c>
      <c r="G174" s="971" t="e">
        <f ca="1">_xlfn.AGGREGATE(9,5,$D$139:D174)</f>
        <v>#NAME?</v>
      </c>
      <c r="H174" s="971" t="e">
        <f ca="1">_xlfn.AGGREGATE(9,5,$E$139:E174)</f>
        <v>#NAME?</v>
      </c>
      <c r="I174" s="971" t="e">
        <f ca="1">_xlfn.AGGREGATE(9,5,$F$139:F174)</f>
        <v>#NAME?</v>
      </c>
      <c r="J174" s="968" t="str">
        <f>IF(SUM(Расходы_4[[#This Row],[2 025]:[2 027]])=0,"000",".")</f>
        <v>000</v>
      </c>
      <c r="K174" s="965">
        <v>4</v>
      </c>
      <c r="L174" s="908">
        <v>244</v>
      </c>
      <c r="M174" s="908">
        <v>16561</v>
      </c>
      <c r="N174" s="908">
        <v>349</v>
      </c>
      <c r="O174" s="1341"/>
      <c r="P174" s="1375"/>
      <c r="Q174" s="1349"/>
      <c r="R174" s="1281" t="s">
        <v>254</v>
      </c>
      <c r="S174" s="1128"/>
      <c r="Y174" s="959"/>
      <c r="Z174" s="959"/>
      <c r="AA174" s="959"/>
      <c r="AB174" s="963"/>
      <c r="AE174" s="50">
        <f>COUNT(102,$AF$115:AF150)-1</f>
        <v>36</v>
      </c>
      <c r="AF174" s="50">
        <v>1</v>
      </c>
    </row>
    <row r="175" spans="1:32" ht="20.25" customHeight="1">
      <c r="A175" s="971">
        <f>IF(Расходы_4[[#This Row],[КВР]]&gt;=
IF(SUBTOTAL(109,L174)&gt;0,SUBTOTAL(109,L174),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))))))))))))),1,0)</f>
        <v>1</v>
      </c>
      <c r="B175" s="971">
        <f>IF(AND(Расходы_4[[#This Row],[КЦ]]="14561Э",M174="14561Т"),1,
IF(Расходы_4[[#This Row],[КЦ]]&gt;=
IF(SUBTOTAL(109,M174)&gt;0,SUBTOTAL(109,M174),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))))))))))))),1,0))</f>
        <v>1</v>
      </c>
      <c r="C175" s="971">
        <f>IF(Расходы_4[[#This Row],[КОСГУ]]&gt;=
IF(SUBTOTAL(109,N174)&gt;0,SUBTOTAL(109,N174),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))))))))))))),1,0)</f>
        <v>1</v>
      </c>
      <c r="D175" s="971">
        <f>IF(Расходы_4[[#This Row],[КВР]]&gt;
IF(SUBTOTAL(109,L174)&gt;0,SUBTOTAL(109,L174),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IF(SUBTOTAL(109,L162)&gt;0,SUBTOTAL(109,L162),
))))))))))))),1,0)</f>
        <v>0</v>
      </c>
      <c r="E175" s="971">
        <f>IF(AND(Расходы_4[[#This Row],[КЦ]]="14561Э",M174="14561Т"),1,
IF(Расходы_4[[#This Row],[КЦ]]&gt;
IF(SUBTOTAL(109,M174)&gt;0,SUBTOTAL(109,M174),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IF(SUBTOTAL(109,M162)&gt;0,SUBTOTAL(109,M162),
))))))))))))),1,0))</f>
        <v>0</v>
      </c>
      <c r="F175" s="971">
        <f>IF(Расходы_4[[#This Row],[КОСГУ]]&gt;
IF(SUBTOTAL(109,N174)&gt;0,SUBTOTAL(109,N174),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IF(SUBTOTAL(109,N162)&gt;0,SUBTOTAL(109,N162),
))))))))))))),1,0)</f>
        <v>1</v>
      </c>
      <c r="G175" s="971" t="e">
        <f ca="1">_xlfn.AGGREGATE(9,5,$D$139:D175)</f>
        <v>#NAME?</v>
      </c>
      <c r="H175" s="971" t="e">
        <f ca="1">_xlfn.AGGREGATE(9,5,$E$139:E175)</f>
        <v>#NAME?</v>
      </c>
      <c r="I175" s="971" t="e">
        <f ca="1">_xlfn.AGGREGATE(9,5,$F$139:F175)</f>
        <v>#NAME?</v>
      </c>
      <c r="J175" s="968" t="str">
        <f>IF(SUM(Расходы_4[[#This Row],[2 025]:[2 027]])=0,"000",".")</f>
        <v>000</v>
      </c>
      <c r="K175" s="965">
        <v>4</v>
      </c>
      <c r="L175" s="908">
        <v>244</v>
      </c>
      <c r="M175" s="908">
        <v>16561</v>
      </c>
      <c r="N175" s="908">
        <v>350</v>
      </c>
      <c r="O175" s="1341"/>
      <c r="P175" s="1375"/>
      <c r="Q175" s="1349"/>
      <c r="R175" s="1281" t="s">
        <v>746</v>
      </c>
      <c r="S175" s="1128"/>
      <c r="Y175" s="959"/>
      <c r="Z175" s="959"/>
      <c r="AA175" s="959"/>
      <c r="AB175" s="963"/>
      <c r="AE175" s="50">
        <f>COUNT(102,$AF$115:AF151)-1</f>
        <v>37</v>
      </c>
      <c r="AF175" s="50">
        <v>1</v>
      </c>
    </row>
    <row r="176" spans="1:32" ht="20.25" customHeight="1" thickBot="1">
      <c r="A176" s="971">
        <f>IF(Расходы_4[[#This Row],[КВР]]&gt;=
IF(SUBTOTAL(109,L175)&gt;0,SUBTOTAL(109,L175),
IF(SUBTOTAL(109,L174)&gt;0,SUBTOTAL(109,L174),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))))))))))))),1,0)</f>
        <v>1</v>
      </c>
      <c r="B176" s="971">
        <f>IF(AND(Расходы_4[[#This Row],[КЦ]]="14561Э",M175="14561Т"),1,
IF(Расходы_4[[#This Row],[КЦ]]&gt;=
IF(SUBTOTAL(109,M175)&gt;0,SUBTOTAL(109,M175),
IF(SUBTOTAL(109,M174)&gt;0,SUBTOTAL(109,M174),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))))))))))))),1,0))</f>
        <v>1</v>
      </c>
      <c r="C176" s="971">
        <f>IF(Расходы_4[[#This Row],[КОСГУ]]&gt;=
IF(SUBTOTAL(109,N175)&gt;0,SUBTOTAL(109,N175),
IF(SUBTOTAL(109,N174)&gt;0,SUBTOTAL(109,N174),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))))))))))))),1,0)</f>
        <v>0</v>
      </c>
      <c r="D176" s="971">
        <f>IF(Расходы_4[[#This Row],[КВР]]&gt;
IF(SUBTOTAL(109,L175)&gt;0,SUBTOTAL(109,L175),
IF(SUBTOTAL(109,L174)&gt;0,SUBTOTAL(109,L174),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IF(SUBTOTAL(109,L165)&gt;0,SUBTOTAL(109,L165),
IF(SUBTOTAL(109,L164)&gt;0,SUBTOTAL(109,L164),
IF(SUBTOTAL(109,L163)&gt;0,SUBTOTAL(109,L163),
))))))))))))),1,0)</f>
        <v>0</v>
      </c>
      <c r="E176" s="971">
        <f>IF(AND(Расходы_4[[#This Row],[КЦ]]="14561Э",M175="14561Т"),1,
IF(Расходы_4[[#This Row],[КЦ]]&gt;
IF(SUBTOTAL(109,M175)&gt;0,SUBTOTAL(109,M175),
IF(SUBTOTAL(109,M174)&gt;0,SUBTOTAL(109,M174),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IF(SUBTOTAL(109,M165)&gt;0,SUBTOTAL(109,M165),
IF(SUBTOTAL(109,M164)&gt;0,SUBTOTAL(109,M164),
IF(SUBTOTAL(109,M163)&gt;0,SUBTOTAL(109,M163),
))))))))))))),1,0))</f>
        <v>1</v>
      </c>
      <c r="F176" s="971">
        <f>IF(Расходы_4[[#This Row],[КОСГУ]]&gt;
IF(SUBTOTAL(109,N175)&gt;0,SUBTOTAL(109,N175),
IF(SUBTOTAL(109,N174)&gt;0,SUBTOTAL(109,N174),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IF(SUBTOTAL(109,N165)&gt;0,SUBTOTAL(109,N165),
IF(SUBTOTAL(109,N164)&gt;0,SUBTOTAL(109,N164),
IF(SUBTOTAL(109,N163)&gt;0,SUBTOTAL(109,N163),
))))))))))))),1,0)</f>
        <v>0</v>
      </c>
      <c r="G176" s="971" t="e">
        <f ca="1">_xlfn.AGGREGATE(9,5,$D$139:D176)</f>
        <v>#NAME?</v>
      </c>
      <c r="H176" s="971" t="e">
        <f ca="1">_xlfn.AGGREGATE(9,5,$E$139:E176)</f>
        <v>#NAME?</v>
      </c>
      <c r="I176" s="971" t="e">
        <f ca="1">_xlfn.AGGREGATE(9,5,$F$139:F176)</f>
        <v>#NAME?</v>
      </c>
      <c r="J176" s="968" t="str">
        <f>IF(SUM(Расходы_4[[#This Row],[2 025]:[2 027]])=0,"000",".")</f>
        <v>.</v>
      </c>
      <c r="K176" s="965">
        <v>4</v>
      </c>
      <c r="L176" s="909">
        <v>244</v>
      </c>
      <c r="M176" s="909">
        <v>17561</v>
      </c>
      <c r="N176" s="909">
        <v>310</v>
      </c>
      <c r="O176" s="1342">
        <v>55065</v>
      </c>
      <c r="P176" s="1377"/>
      <c r="Q176" s="1350"/>
      <c r="R176" s="1281" t="s">
        <v>1012</v>
      </c>
      <c r="S176" s="1128"/>
      <c r="Y176" s="959"/>
      <c r="Z176" s="959"/>
      <c r="AA176" s="959"/>
      <c r="AB176" s="963"/>
      <c r="AE176" s="50">
        <f>COUNT(102,$AF$115:AF152)-1</f>
        <v>38</v>
      </c>
      <c r="AF176" s="50">
        <v>1</v>
      </c>
    </row>
    <row r="177" spans="1:32" ht="20.25" customHeight="1" thickBot="1">
      <c r="A177" s="971">
        <f>IF(Расходы_4[[#This Row],[КВР]]&gt;=
IF(SUBTOTAL(109,L176)&gt;0,SUBTOTAL(109,L176),
IF(SUBTOTAL(109,L175)&gt;0,SUBTOTAL(109,L175),
IF(SUBTOTAL(109,L174)&gt;0,SUBTOTAL(109,L174),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IF(SUBTOTAL(109,L164)&gt;0,SUBTOTAL(109,L164),
IF(SUBTOTAL(109,L163)&gt;0,SUBTOTAL(109,L163),
))))))))))))),1,0)</f>
        <v>1</v>
      </c>
      <c r="B177" s="971">
        <f>IF(AND(Расходы_4[[#This Row],[КЦ]]="14561Э",M176="14561Т"),1,
IF(Расходы_4[[#This Row],[КЦ]]&gt;=
IF(SUBTOTAL(109,M176)&gt;0,SUBTOTAL(109,M176),
IF(SUBTOTAL(109,M175)&gt;0,SUBTOTAL(109,M175),
IF(SUBTOTAL(109,M174)&gt;0,SUBTOTAL(109,M174),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IF(SUBTOTAL(109,M164)&gt;0,SUBTOTAL(109,M164),
IF(SUBTOTAL(109,M163)&gt;0,SUBTOTAL(109,M163),
))))))))))))),1,0))</f>
        <v>1</v>
      </c>
      <c r="C177" s="971">
        <f>IF(Расходы_4[[#This Row],[КОСГУ]]&gt;=
IF(SUBTOTAL(109,N176)&gt;0,SUBTOTAL(109,N176),
IF(SUBTOTAL(109,N175)&gt;0,SUBTOTAL(109,N175),
IF(SUBTOTAL(109,N174)&gt;0,SUBTOTAL(109,N174),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IF(SUBTOTAL(109,N164)&gt;0,SUBTOTAL(109,N164),
IF(SUBTOTAL(109,N163)&gt;0,SUBTOTAL(109,N163),
))))))))))))),1,0)</f>
        <v>0</v>
      </c>
      <c r="D177" s="971">
        <f>IF(Расходы_4[[#This Row],[КВР]]&gt;
IF(SUBTOTAL(109,L176)&gt;0,SUBTOTAL(109,L176),
IF(SUBTOTAL(109,L175)&gt;0,SUBTOTAL(109,L175),
IF(SUBTOTAL(109,L174)&gt;0,SUBTOTAL(109,L174),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IF(SUBTOTAL(109,L164)&gt;0,SUBTOTAL(109,L164),
IF(SUBTOTAL(109,L163)&gt;0,SUBTOTAL(109,L163),
))))))))))))),1,0)</f>
        <v>0</v>
      </c>
      <c r="E177" s="971">
        <f>IF(AND(Расходы_4[[#This Row],[КЦ]]="14561Э",M176="14561Т"),1,
IF(Расходы_4[[#This Row],[КЦ]]&gt;
IF(SUBTOTAL(109,M176)&gt;0,SUBTOTAL(109,M176),
IF(SUBTOTAL(109,M175)&gt;0,SUBTOTAL(109,M175),
IF(SUBTOTAL(109,M174)&gt;0,SUBTOTAL(109,M174),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IF(SUBTOTAL(109,M164)&gt;0,SUBTOTAL(109,M164),
IF(SUBTOTAL(109,M163)&gt;0,SUBTOTAL(109,M163),
))))))))))))),1,0))</f>
        <v>1</v>
      </c>
      <c r="F177" s="971">
        <f>IF(Расходы_4[[#This Row],[КОСГУ]]&gt;
IF(SUBTOTAL(109,N176)&gt;0,SUBTOTAL(109,N176),
IF(SUBTOTAL(109,N175)&gt;0,SUBTOTAL(109,N175),
IF(SUBTOTAL(109,N174)&gt;0,SUBTOTAL(109,N174),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IF(SUBTOTAL(109,N164)&gt;0,SUBTOTAL(109,N164),
IF(SUBTOTAL(109,N163)&gt;0,SUBTOTAL(109,N163),
))))))))))))),1,0)</f>
        <v>0</v>
      </c>
      <c r="G177" s="971" t="e">
        <f ca="1">_xlfn.AGGREGATE(9,5,$D$139:D177)</f>
        <v>#NAME?</v>
      </c>
      <c r="H177" s="971" t="e">
        <f ca="1">_xlfn.AGGREGATE(9,5,$E$139:E177)</f>
        <v>#NAME?</v>
      </c>
      <c r="I177" s="971" t="e">
        <f ca="1">_xlfn.AGGREGATE(9,5,$F$139:F177)</f>
        <v>#NAME?</v>
      </c>
      <c r="J177" s="968" t="str">
        <f>IF(SUM(Расходы_4[[#This Row],[2 025]:[2 027]])=0,"000",".")</f>
        <v>.</v>
      </c>
      <c r="K177" s="1335">
        <v>4</v>
      </c>
      <c r="L177" s="1301">
        <v>244</v>
      </c>
      <c r="M177" s="1272">
        <v>19561</v>
      </c>
      <c r="N177" s="1272">
        <v>225</v>
      </c>
      <c r="O177" s="1422">
        <f>325250+20193.5</f>
        <v>345443.5</v>
      </c>
      <c r="P177" s="1422">
        <v>325250</v>
      </c>
      <c r="Q177" s="1422">
        <v>325250</v>
      </c>
      <c r="R177" s="1281" t="s">
        <v>277</v>
      </c>
      <c r="S177" s="1128"/>
      <c r="Y177" s="959"/>
      <c r="Z177" s="959"/>
      <c r="AA177" s="959"/>
      <c r="AB177" s="963"/>
      <c r="AE177" s="50">
        <f>COUNT(102,$AF$115:AF153)-1</f>
        <v>39</v>
      </c>
      <c r="AF177" s="50">
        <v>1</v>
      </c>
    </row>
    <row r="178" spans="1:32" ht="20.25" customHeight="1">
      <c r="A178" s="971">
        <f>IF(Расходы_4[[#This Row],[КВР]]&gt;=
IF(SUBTOTAL(109,L177)&gt;0,SUBTOTAL(109,L177),
IF(SUBTOTAL(109,L176)&gt;0,SUBTOTAL(109,L176),
IF(SUBTOTAL(109,L175)&gt;0,SUBTOTAL(109,L175),
IF(SUBTOTAL(109,L174)&gt;0,SUBTOTAL(109,L174),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IF(SUBTOTAL(109,L165)&gt;0,SUBTOTAL(109,L165),
))))))))))))),1,0)</f>
        <v>1</v>
      </c>
      <c r="B178" s="971">
        <f>IF(AND(Расходы_4[[#This Row],[КЦ]]="14561Э",M177="14561Т"),1,
IF(Расходы_4[[#This Row],[КЦ]]&gt;=
IF(SUBTOTAL(109,M177)&gt;0,SUBTOTAL(109,M177),
IF(SUBTOTAL(109,M176)&gt;0,SUBTOTAL(109,M176),
IF(SUBTOTAL(109,M175)&gt;0,SUBTOTAL(109,M175),
IF(SUBTOTAL(109,M174)&gt;0,SUBTOTAL(109,M174),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IF(SUBTOTAL(109,M165)&gt;0,SUBTOTAL(109,M165),
))))))))))))),1,0))</f>
        <v>1</v>
      </c>
      <c r="C178" s="971">
        <f>IF(Расходы_4[[#This Row],[КОСГУ]]&gt;=
IF(SUBTOTAL(109,N177)&gt;0,SUBTOTAL(109,N177),
IF(SUBTOTAL(109,N176)&gt;0,SUBTOTAL(109,N176),
IF(SUBTOTAL(109,N175)&gt;0,SUBTOTAL(109,N175),
IF(SUBTOTAL(109,N174)&gt;0,SUBTOTAL(109,N174),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IF(SUBTOTAL(109,N165)&gt;0,SUBTOTAL(109,N165),
))))))))))))),1,0)</f>
        <v>1</v>
      </c>
      <c r="D178" s="971">
        <f>IF(Расходы_4[[#This Row],[КВР]]&gt;
IF(SUBTOTAL(109,L177)&gt;0,SUBTOTAL(109,L177),
IF(SUBTOTAL(109,L176)&gt;0,SUBTOTAL(109,L176),
IF(SUBTOTAL(109,L175)&gt;0,SUBTOTAL(109,L175),
IF(SUBTOTAL(109,L174)&gt;0,SUBTOTAL(109,L174),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IF(SUBTOTAL(109,L165)&gt;0,SUBTOTAL(109,L165),
))))))))))))),1,0)</f>
        <v>0</v>
      </c>
      <c r="E178" s="971">
        <f>IF(AND(Расходы_4[[#This Row],[КЦ]]="14561Э",M177="14561Т"),1,
IF(Расходы_4[[#This Row],[КЦ]]&gt;
IF(SUBTOTAL(109,M177)&gt;0,SUBTOTAL(109,M177),
IF(SUBTOTAL(109,M176)&gt;0,SUBTOTAL(109,M176),
IF(SUBTOTAL(109,M175)&gt;0,SUBTOTAL(109,M175),
IF(SUBTOTAL(109,M174)&gt;0,SUBTOTAL(109,M174),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IF(SUBTOTAL(109,M165)&gt;0,SUBTOTAL(109,M165),
))))))))))))),1,0))</f>
        <v>1</v>
      </c>
      <c r="F178" s="971">
        <f>IF(Расходы_4[[#This Row],[КОСГУ]]&gt;
IF(SUBTOTAL(109,N177)&gt;0,SUBTOTAL(109,N177),
IF(SUBTOTAL(109,N176)&gt;0,SUBTOTAL(109,N176),
IF(SUBTOTAL(109,N175)&gt;0,SUBTOTAL(109,N175),
IF(SUBTOTAL(109,N174)&gt;0,SUBTOTAL(109,N174),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IF(SUBTOTAL(109,N165)&gt;0,SUBTOTAL(109,N165),
))))))))))))),1,0)</f>
        <v>1</v>
      </c>
      <c r="G178" s="971" t="e">
        <f ca="1">_xlfn.AGGREGATE(9,5,$D$139:D178)</f>
        <v>#NAME?</v>
      </c>
      <c r="H178" s="971" t="e">
        <f ca="1">_xlfn.AGGREGATE(9,5,$E$139:E178)</f>
        <v>#NAME?</v>
      </c>
      <c r="I178" s="971" t="e">
        <f ca="1">_xlfn.AGGREGATE(9,5,$F$139:F178)</f>
        <v>#NAME?</v>
      </c>
      <c r="J178" s="968" t="str">
        <f>IF(SUM(Расходы_4[[#This Row],[2 025]:[2 027]])=0,"000",".")</f>
        <v>000</v>
      </c>
      <c r="K178" s="965">
        <v>4</v>
      </c>
      <c r="L178" s="1266">
        <v>244</v>
      </c>
      <c r="M178" s="1266">
        <v>20561</v>
      </c>
      <c r="N178" s="1266">
        <v>226</v>
      </c>
      <c r="O178" s="1344"/>
      <c r="P178" s="1379"/>
      <c r="Q178" s="1352"/>
      <c r="R178" s="1281" t="s">
        <v>387</v>
      </c>
      <c r="S178" s="1128"/>
      <c r="Y178" s="959"/>
      <c r="Z178" s="959"/>
      <c r="AA178" s="959"/>
      <c r="AB178" s="963"/>
      <c r="AE178" s="50">
        <f>COUNT(102,$AF$115:AF154)-1</f>
        <v>40</v>
      </c>
      <c r="AF178" s="50">
        <v>1</v>
      </c>
    </row>
    <row r="179" spans="1:32" ht="20.25" customHeight="1">
      <c r="A179" s="971">
        <f>IF(Расходы_4[[#This Row],[КВР]]&gt;=
IF(SUBTOTAL(109,L178)&gt;0,SUBTOTAL(109,L178),
IF(SUBTOTAL(109,L177)&gt;0,SUBTOTAL(109,L177),
IF(SUBTOTAL(109,L176)&gt;0,SUBTOTAL(109,L176),
IF(SUBTOTAL(109,L175)&gt;0,SUBTOTAL(109,L175),
IF(SUBTOTAL(109,L174)&gt;0,SUBTOTAL(109,L174),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))))))))))))),1,0)</f>
        <v>1</v>
      </c>
      <c r="B179" s="971">
        <f>IF(AND(Расходы_4[[#This Row],[КЦ]]="14561Э",M178="14561Т"),1,
IF(Расходы_4[[#This Row],[КЦ]]&gt;=
IF(SUBTOTAL(109,M178)&gt;0,SUBTOTAL(109,M178),
IF(SUBTOTAL(109,M177)&gt;0,SUBTOTAL(109,M177),
IF(SUBTOTAL(109,M176)&gt;0,SUBTOTAL(109,M176),
IF(SUBTOTAL(109,M175)&gt;0,SUBTOTAL(109,M175),
IF(SUBTOTAL(109,M174)&gt;0,SUBTOTAL(109,M174),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))))))))))))),1,0))</f>
        <v>1</v>
      </c>
      <c r="C179" s="971">
        <f>IF(Расходы_4[[#This Row],[КОСГУ]]&gt;=
IF(SUBTOTAL(109,N178)&gt;0,SUBTOTAL(109,N178),
IF(SUBTOTAL(109,N177)&gt;0,SUBTOTAL(109,N177),
IF(SUBTOTAL(109,N176)&gt;0,SUBTOTAL(109,N176),
IF(SUBTOTAL(109,N175)&gt;0,SUBTOTAL(109,N175),
IF(SUBTOTAL(109,N174)&gt;0,SUBTOTAL(109,N174),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))))))))))))),1,0)</f>
        <v>1</v>
      </c>
      <c r="D179" s="971">
        <f>IF(Расходы_4[[#This Row],[КВР]]&gt;
IF(SUBTOTAL(109,L178)&gt;0,SUBTOTAL(109,L178),
IF(SUBTOTAL(109,L177)&gt;0,SUBTOTAL(109,L177),
IF(SUBTOTAL(109,L176)&gt;0,SUBTOTAL(109,L176),
IF(SUBTOTAL(109,L175)&gt;0,SUBTOTAL(109,L175),
IF(SUBTOTAL(109,L174)&gt;0,SUBTOTAL(109,L174),
IF(SUBTOTAL(109,L173)&gt;0,SUBTOTAL(109,L173),
IF(SUBTOTAL(109,L172)&gt;0,SUBTOTAL(109,L172),
IF(SUBTOTAL(109,L171)&gt;0,SUBTOTAL(109,L171),
IF(SUBTOTAL(109,L170)&gt;0,SUBTOTAL(109,L170),
IF(SUBTOTAL(109,L169)&gt;0,SUBTOTAL(109,L169),
IF(SUBTOTAL(109,L168)&gt;0,SUBTOTAL(109,L168),
IF(SUBTOTAL(109,L167)&gt;0,SUBTOTAL(109,L167),
IF(SUBTOTAL(109,L166)&gt;0,SUBTOTAL(109,L166),
))))))))))))),1,0)</f>
        <v>0</v>
      </c>
      <c r="E179" s="971">
        <f>IF(AND(Расходы_4[[#This Row],[КЦ]]="14561Э",M178="14561Т"),1,
IF(Расходы_4[[#This Row],[КЦ]]&gt;
IF(SUBTOTAL(109,M178)&gt;0,SUBTOTAL(109,M178),
IF(SUBTOTAL(109,M177)&gt;0,SUBTOTAL(109,M177),
IF(SUBTOTAL(109,M176)&gt;0,SUBTOTAL(109,M176),
IF(SUBTOTAL(109,M175)&gt;0,SUBTOTAL(109,M175),
IF(SUBTOTAL(109,M174)&gt;0,SUBTOTAL(109,M174),
IF(SUBTOTAL(109,M173)&gt;0,SUBTOTAL(109,M173),
IF(SUBTOTAL(109,M172)&gt;0,SUBTOTAL(109,M172),
IF(SUBTOTAL(109,M171)&gt;0,SUBTOTAL(109,M171),
IF(SUBTOTAL(109,M170)&gt;0,SUBTOTAL(109,M170),
IF(SUBTOTAL(109,M169)&gt;0,SUBTOTAL(109,M169),
IF(SUBTOTAL(109,M168)&gt;0,SUBTOTAL(109,M168),
IF(SUBTOTAL(109,M167)&gt;0,SUBTOTAL(109,M167),
IF(SUBTOTAL(109,M166)&gt;0,SUBTOTAL(109,M166),
))))))))))))),1,0))</f>
        <v>0</v>
      </c>
      <c r="F179" s="971">
        <f>IF(Расходы_4[[#This Row],[КОСГУ]]&gt;
IF(SUBTOTAL(109,N178)&gt;0,SUBTOTAL(109,N178),
IF(SUBTOTAL(109,N177)&gt;0,SUBTOTAL(109,N177),
IF(SUBTOTAL(109,N176)&gt;0,SUBTOTAL(109,N176),
IF(SUBTOTAL(109,N175)&gt;0,SUBTOTAL(109,N175),
IF(SUBTOTAL(109,N174)&gt;0,SUBTOTAL(109,N174),
IF(SUBTOTAL(109,N173)&gt;0,SUBTOTAL(109,N173),
IF(SUBTOTAL(109,N172)&gt;0,SUBTOTAL(109,N172),
IF(SUBTOTAL(109,N171)&gt;0,SUBTOTAL(109,N171),
IF(SUBTOTAL(109,N170)&gt;0,SUBTOTAL(109,N170),
IF(SUBTOTAL(109,N169)&gt;0,SUBTOTAL(109,N169),
IF(SUBTOTAL(109,N168)&gt;0,SUBTOTAL(109,N168),
IF(SUBTOTAL(109,N167)&gt;0,SUBTOTAL(109,N167),
IF(SUBTOTAL(109,N166)&gt;0,SUBTOTAL(109,N166),
))))))))))))),1,0)</f>
        <v>1</v>
      </c>
      <c r="G179" s="971" t="e">
        <f ca="1">_xlfn.AGGREGATE(9,5,$D$139:D179)</f>
        <v>#NAME?</v>
      </c>
      <c r="H179" s="971" t="e">
        <f ca="1">_xlfn.AGGREGATE(9,5,$E$139:E179)</f>
        <v>#NAME?</v>
      </c>
      <c r="I179" s="971" t="e">
        <f ca="1">_xlfn.AGGREGATE(9,5,$F$139:F179)</f>
        <v>#NAME?</v>
      </c>
      <c r="J179" s="968" t="str">
        <f>IF(SUM(Расходы_4[[#This Row],[2 025]:[2 027]])=0,"000",".")</f>
        <v>000</v>
      </c>
      <c r="K179" s="965">
        <v>4</v>
      </c>
      <c r="L179" s="908">
        <v>244</v>
      </c>
      <c r="M179" s="908">
        <v>20561</v>
      </c>
      <c r="N179" s="908">
        <v>310</v>
      </c>
      <c r="O179" s="1341"/>
      <c r="P179" s="1375"/>
      <c r="Q179" s="1349"/>
      <c r="R179" s="1281" t="s">
        <v>282</v>
      </c>
      <c r="S179" s="1128"/>
      <c r="Y179" s="959"/>
      <c r="Z179" s="959"/>
      <c r="AA179" s="959"/>
      <c r="AB179" s="963"/>
      <c r="AE179" s="50">
        <f>COUNT(102,$AF$115:AF155)-1</f>
        <v>41</v>
      </c>
      <c r="AF179" s="50">
        <v>1</v>
      </c>
    </row>
    <row r="180" spans="1:32" ht="20.25" customHeight="1" thickBot="1">
      <c r="A180" s="971">
        <f>IF(Расходы_4[[#This Row],[КВР]]&gt;=
IF(SUBTOTAL(109,L179)&gt;0,SUBTOTAL(109,L179),
IF(SUBTOTAL(109,L178)&gt;0,SUBTOTAL(109,L178),
IF(SUBTOTAL(109,L177)&gt;0,SUBTOTAL(109,L177),
IF(SUBTOTAL(109,L176)&gt;0,SUBTOTAL(109,L176),
IF(SUBTOTAL(109,L175)&gt;0,SUBTOTAL(109,L175),
IF(SUBTOTAL(109,L174)&gt;0,SUBTOTAL(109,L174),
IF(SUBTOTAL(109,L172)&gt;0,SUBTOTAL(109,L172),
IF(SUBTOTAL(109,L171)&gt;0,SUBTOTAL(109,L171),
IF(SUBTOTAL(109,L170)&gt;0,SUBTOTAL(109,L170),
IF(SUBTOTAL(109,L169)&gt;0,SUBTOTAL(109,L169),
IF(SUBTOTAL(109,L168)&gt;0,SUBTOTAL(109,L168),
IF(SUBTOTAL(109,L167)&gt;0,SUBTOTAL(109,L167),
IF(SUBTOTAL(109,L166)&gt;0,SUBTOTAL(109,L166),
))))))))))))),1,0)</f>
        <v>1</v>
      </c>
      <c r="B180" s="971">
        <f>IF(AND(Расходы_4[[#This Row],[КЦ]]="14561Э",M179="14561Т"),1,
IF(Расходы_4[[#This Row],[КЦ]]&gt;=
IF(SUBTOTAL(109,M179)&gt;0,SUBTOTAL(109,M179),
IF(SUBTOTAL(109,M178)&gt;0,SUBTOTAL(109,M178),
IF(SUBTOTAL(109,M177)&gt;0,SUBTOTAL(109,M177),
IF(SUBTOTAL(109,M176)&gt;0,SUBTOTAL(109,M176),
IF(SUBTOTAL(109,M175)&gt;0,SUBTOTAL(109,M175),
IF(SUBTOTAL(109,M174)&gt;0,SUBTOTAL(109,M174),
IF(SUBTOTAL(109,M172)&gt;0,SUBTOTAL(109,M172),
IF(SUBTOTAL(109,M171)&gt;0,SUBTOTAL(109,M171),
IF(SUBTOTAL(109,M170)&gt;0,SUBTOTAL(109,M170),
IF(SUBTOTAL(109,M169)&gt;0,SUBTOTAL(109,M169),
IF(SUBTOTAL(109,M168)&gt;0,SUBTOTAL(109,M168),
IF(SUBTOTAL(109,M167)&gt;0,SUBTOTAL(109,M167),
IF(SUBTOTAL(109,M166)&gt;0,SUBTOTAL(109,M166),
))))))))))))),1,0))</f>
        <v>1</v>
      </c>
      <c r="C180" s="971">
        <f>IF(Расходы_4[[#This Row],[КОСГУ]]&gt;=
IF(SUBTOTAL(109,N179)&gt;0,SUBTOTAL(109,N179),
IF(SUBTOTAL(109,N178)&gt;0,SUBTOTAL(109,N178),
IF(SUBTOTAL(109,N177)&gt;0,SUBTOTAL(109,N177),
IF(SUBTOTAL(109,N176)&gt;0,SUBTOTAL(109,N176),
IF(SUBTOTAL(109,N175)&gt;0,SUBTOTAL(109,N175),
IF(SUBTOTAL(109,N174)&gt;0,SUBTOTAL(109,N174),
IF(SUBTOTAL(109,N172)&gt;0,SUBTOTAL(109,N172),
IF(SUBTOTAL(109,N171)&gt;0,SUBTOTAL(109,N171),
IF(SUBTOTAL(109,N170)&gt;0,SUBTOTAL(109,N170),
IF(SUBTOTAL(109,N169)&gt;0,SUBTOTAL(109,N169),
IF(SUBTOTAL(109,N168)&gt;0,SUBTOTAL(109,N168),
IF(SUBTOTAL(109,N167)&gt;0,SUBTOTAL(109,N167),
IF(SUBTOTAL(109,N166)&gt;0,SUBTOTAL(109,N166),
))))))))))))),1,0)</f>
        <v>0</v>
      </c>
      <c r="D180" s="971">
        <f>IF(Расходы_4[[#This Row],[КВР]]&gt;
IF(SUBTOTAL(109,L179)&gt;0,SUBTOTAL(109,L179),
IF(SUBTOTAL(109,L178)&gt;0,SUBTOTAL(109,L178),
IF(SUBTOTAL(109,L177)&gt;0,SUBTOTAL(109,L177),
IF(SUBTOTAL(109,L176)&gt;0,SUBTOTAL(109,L176),
IF(SUBTOTAL(109,L175)&gt;0,SUBTOTAL(109,L175),
IF(SUBTOTAL(109,L174)&gt;0,SUBTOTAL(109,L174),
IF(SUBTOTAL(109,L172)&gt;0,SUBTOTAL(109,L172),
IF(SUBTOTAL(109,L171)&gt;0,SUBTOTAL(109,L171),
IF(SUBTOTAL(109,L170)&gt;0,SUBTOTAL(109,L170),
IF(SUBTOTAL(109,L169)&gt;0,SUBTOTAL(109,L169),
IF(SUBTOTAL(109,L168)&gt;0,SUBTOTAL(109,L168),
IF(SUBTOTAL(109,L167)&gt;0,SUBTOTAL(109,L167),
IF(SUBTOTAL(109,L166)&gt;0,SUBTOTAL(109,L166),
))))))))))))),1,0)</f>
        <v>0</v>
      </c>
      <c r="E180" s="971">
        <f>IF(AND(Расходы_4[[#This Row],[КЦ]]="14561Э",M179="14561Т"),1,
IF(Расходы_4[[#This Row],[КЦ]]&gt;
IF(SUBTOTAL(109,M179)&gt;0,SUBTOTAL(109,M179),
IF(SUBTOTAL(109,M178)&gt;0,SUBTOTAL(109,M178),
IF(SUBTOTAL(109,M177)&gt;0,SUBTOTAL(109,M177),
IF(SUBTOTAL(109,M176)&gt;0,SUBTOTAL(109,M176),
IF(SUBTOTAL(109,M175)&gt;0,SUBTOTAL(109,M175),
IF(SUBTOTAL(109,M174)&gt;0,SUBTOTAL(109,M174),
IF(SUBTOTAL(109,M172)&gt;0,SUBTOTAL(109,M172),
IF(SUBTOTAL(109,M171)&gt;0,SUBTOTAL(109,M171),
IF(SUBTOTAL(109,M170)&gt;0,SUBTOTAL(109,M170),
IF(SUBTOTAL(109,M169)&gt;0,SUBTOTAL(109,M169),
IF(SUBTOTAL(109,M168)&gt;0,SUBTOTAL(109,M168),
IF(SUBTOTAL(109,M167)&gt;0,SUBTOTAL(109,M167),
IF(SUBTOTAL(109,M166)&gt;0,SUBTOTAL(109,M166),
))))))))))))),1,0))</f>
        <v>1</v>
      </c>
      <c r="F180" s="971">
        <f>IF(Расходы_4[[#This Row],[КОСГУ]]&gt;
IF(SUBTOTAL(109,N179)&gt;0,SUBTOTAL(109,N179),
IF(SUBTOTAL(109,N178)&gt;0,SUBTOTAL(109,N178),
IF(SUBTOTAL(109,N177)&gt;0,SUBTOTAL(109,N177),
IF(SUBTOTAL(109,N176)&gt;0,SUBTOTAL(109,N176),
IF(SUBTOTAL(109,N175)&gt;0,SUBTOTAL(109,N175),
IF(SUBTOTAL(109,N174)&gt;0,SUBTOTAL(109,N174),
IF(SUBTOTAL(109,N172)&gt;0,SUBTOTAL(109,N172),
IF(SUBTOTAL(109,N171)&gt;0,SUBTOTAL(109,N171),
IF(SUBTOTAL(109,N170)&gt;0,SUBTOTAL(109,N170),
IF(SUBTOTAL(109,N169)&gt;0,SUBTOTAL(109,N169),
IF(SUBTOTAL(109,N168)&gt;0,SUBTOTAL(109,N168),
IF(SUBTOTAL(109,N167)&gt;0,SUBTOTAL(109,N167),
IF(SUBTOTAL(109,N166)&gt;0,SUBTOTAL(109,N166),
))))))))))))),1,0)</f>
        <v>0</v>
      </c>
      <c r="G180" s="971" t="e">
        <f ca="1">_xlfn.AGGREGATE(9,5,$D$139:D180)</f>
        <v>#NAME?</v>
      </c>
      <c r="H180" s="971" t="e">
        <f ca="1">_xlfn.AGGREGATE(9,5,$E$139:E180)</f>
        <v>#NAME?</v>
      </c>
      <c r="I180" s="971" t="e">
        <f ca="1">_xlfn.AGGREGATE(9,5,$F$139:F180)</f>
        <v>#NAME?</v>
      </c>
      <c r="J180" s="968" t="str">
        <f>IF(SUM(Расходы_4[[#This Row],[2 025]:[2 027]])=0,"000",".")</f>
        <v>000</v>
      </c>
      <c r="K180" s="965">
        <v>4</v>
      </c>
      <c r="L180" s="908">
        <v>244</v>
      </c>
      <c r="M180" s="909">
        <v>30561</v>
      </c>
      <c r="N180" s="909">
        <v>224</v>
      </c>
      <c r="O180" s="1311"/>
      <c r="P180" s="1421"/>
      <c r="Q180" s="1322"/>
      <c r="R180" s="1281" t="s">
        <v>240</v>
      </c>
      <c r="S180" s="1128"/>
      <c r="Y180" s="959"/>
      <c r="Z180" s="959"/>
      <c r="AA180" s="959"/>
      <c r="AB180" s="963"/>
      <c r="AE180" s="50">
        <f>COUNT(102,$AF$115:AF156)-1</f>
        <v>42</v>
      </c>
      <c r="AF180" s="50">
        <v>1</v>
      </c>
    </row>
    <row r="181" spans="1:32" ht="20.25" customHeight="1" thickBot="1">
      <c r="A181" s="971">
        <f>IF(Расходы_4[[#This Row],[КВР]]&gt;=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IF(SUBTOTAL(109,L172)&gt;0,SUBTOTAL(109,L172),
IF(SUBTOTAL(109,L171)&gt;0,SUBTOTAL(109,L171),
IF(SUBTOTAL(109,L170)&gt;0,SUBTOTAL(109,L170),
IF(SUBTOTAL(109,L169)&gt;0,SUBTOTAL(109,L169),
IF(SUBTOTAL(109,L168)&gt;0,SUBTOTAL(109,L168),
))))))))))))),1,0)</f>
        <v>1</v>
      </c>
      <c r="B181" s="971">
        <f>IF(AND(Расходы_4[[#This Row],[КЦ]]="14561Э",M180="14561Т"),1,
IF(Расходы_4[[#This Row],[КЦ]]&gt;=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IF(SUBTOTAL(109,M172)&gt;0,SUBTOTAL(109,M172),
IF(SUBTOTAL(109,M171)&gt;0,SUBTOTAL(109,M171),
IF(SUBTOTAL(109,M170)&gt;0,SUBTOTAL(109,M170),
IF(SUBTOTAL(109,M169)&gt;0,SUBTOTAL(109,M169),
IF(SUBTOTAL(109,M168)&gt;0,SUBTOTAL(109,M168),
))))))))))))),1,0))</f>
        <v>1</v>
      </c>
      <c r="C181" s="971">
        <f>IF(Расходы_4[[#This Row],[КОСГУ]]&gt;=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IF(SUBTOTAL(109,N172)&gt;0,SUBTOTAL(109,N172),
IF(SUBTOTAL(109,N171)&gt;0,SUBTOTAL(109,N171),
IF(SUBTOTAL(109,N170)&gt;0,SUBTOTAL(109,N170),
IF(SUBTOTAL(109,N169)&gt;0,SUBTOTAL(109,N169),
IF(SUBTOTAL(109,N168)&gt;0,SUBTOTAL(109,N168),
))))))))))))),1,0)</f>
        <v>1</v>
      </c>
      <c r="D181" s="971">
        <f>IF(Расходы_4[[#This Row],[КВР]]&gt;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IF(SUBTOTAL(109,L172)&gt;0,SUBTOTAL(109,L172),
IF(SUBTOTAL(109,L171)&gt;0,SUBTOTAL(109,L171),
IF(SUBTOTAL(109,L170)&gt;0,SUBTOTAL(109,L170),
IF(SUBTOTAL(109,L169)&gt;0,SUBTOTAL(109,L169),
IF(SUBTOTAL(109,L168)&gt;0,SUBTOTAL(109,L168),
))))))))))))),1,0)</f>
        <v>0</v>
      </c>
      <c r="E181" s="971">
        <f>IF(AND(Расходы_4[[#This Row],[КЦ]]="14561Э",M180="14561Т"),1,
IF(Расходы_4[[#This Row],[КЦ]]&gt;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IF(SUBTOTAL(109,M172)&gt;0,SUBTOTAL(109,M172),
IF(SUBTOTAL(109,M171)&gt;0,SUBTOTAL(109,M171),
IF(SUBTOTAL(109,M170)&gt;0,SUBTOTAL(109,M170),
IF(SUBTOTAL(109,M169)&gt;0,SUBTOTAL(109,M169),
IF(SUBTOTAL(109,M168)&gt;0,SUBTOTAL(109,M168),
))))))))))))),1,0))</f>
        <v>0</v>
      </c>
      <c r="F181" s="971">
        <f>IF(Расходы_4[[#This Row],[КОСГУ]]&gt;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IF(SUBTOTAL(109,N172)&gt;0,SUBTOTAL(109,N172),
IF(SUBTOTAL(109,N171)&gt;0,SUBTOTAL(109,N171),
IF(SUBTOTAL(109,N170)&gt;0,SUBTOTAL(109,N170),
IF(SUBTOTAL(109,N169)&gt;0,SUBTOTAL(109,N169),
IF(SUBTOTAL(109,N168)&gt;0,SUBTOTAL(109,N168),
))))))))))))),1,0)</f>
        <v>1</v>
      </c>
      <c r="G181" s="971" t="e">
        <f ca="1">_xlfn.AGGREGATE(9,5,$D$139:D181)</f>
        <v>#NAME?</v>
      </c>
      <c r="H181" s="971" t="e">
        <f ca="1">_xlfn.AGGREGATE(9,5,$E$139:E181)</f>
        <v>#NAME?</v>
      </c>
      <c r="I181" s="971" t="e">
        <f ca="1">_xlfn.AGGREGATE(9,5,$F$139:F181)</f>
        <v>#NAME?</v>
      </c>
      <c r="J181" s="968" t="str">
        <f>IF(SUM(Расходы_4[[#This Row],[2 025]:[2 027]])=0,"000",".")</f>
        <v>.</v>
      </c>
      <c r="K181" s="965">
        <v>4</v>
      </c>
      <c r="L181" s="1420">
        <v>244</v>
      </c>
      <c r="M181" s="1301">
        <v>30561</v>
      </c>
      <c r="N181" s="1272">
        <v>226</v>
      </c>
      <c r="O181" s="1417">
        <v>11300</v>
      </c>
      <c r="P181" s="1417">
        <v>11300</v>
      </c>
      <c r="Q181" s="1292">
        <v>11300</v>
      </c>
      <c r="R181" s="1281" t="s">
        <v>242</v>
      </c>
      <c r="S181" s="1128"/>
      <c r="Y181" s="959"/>
      <c r="Z181" s="959"/>
      <c r="AA181" s="959"/>
      <c r="AB181" s="963"/>
      <c r="AE181" s="50">
        <f>COUNT(102,$AF$115:AF157)-1</f>
        <v>43</v>
      </c>
      <c r="AF181" s="50">
        <v>1</v>
      </c>
    </row>
    <row r="182" spans="1:32" ht="20.25" customHeight="1">
      <c r="A182" s="971">
        <f>IF(Расходы_4[[#This Row],[КВР]]&gt;=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IF(SUBTOTAL(109,L172)&gt;0,SUBTOTAL(109,L172),
IF(SUBTOTAL(109,L171)&gt;0,SUBTOTAL(109,L171),
IF(SUBTOTAL(109,L170)&gt;0,SUBTOTAL(109,L170),
IF(SUBTOTAL(109,L169)&gt;0,SUBTOTAL(109,L169),
))))))))))))),1,0)</f>
        <v>1</v>
      </c>
      <c r="B182" s="971">
        <f>IF(AND(Расходы_4[[#This Row],[КЦ]]="14561Э",M181="14561Т"),1,
IF(Расходы_4[[#This Row],[КЦ]]&gt;=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IF(SUBTOTAL(109,M172)&gt;0,SUBTOTAL(109,M172),
IF(SUBTOTAL(109,M171)&gt;0,SUBTOTAL(109,M171),
IF(SUBTOTAL(109,M170)&gt;0,SUBTOTAL(109,M170),
IF(SUBTOTAL(109,M169)&gt;0,SUBTOTAL(109,M169),
))))))))))))),1,0))</f>
        <v>1</v>
      </c>
      <c r="C182" s="971">
        <f>IF(Расходы_4[[#This Row],[КОСГУ]]&gt;=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IF(SUBTOTAL(109,N172)&gt;0,SUBTOTAL(109,N172),
IF(SUBTOTAL(109,N171)&gt;0,SUBTOTAL(109,N171),
IF(SUBTOTAL(109,N170)&gt;0,SUBTOTAL(109,N170),
IF(SUBTOTAL(109,N169)&gt;0,SUBTOTAL(109,N169),
))))))))))))),1,0)</f>
        <v>1</v>
      </c>
      <c r="D182" s="971">
        <f>IF(Расходы_4[[#This Row],[КВР]]&gt;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IF(SUBTOTAL(109,L172)&gt;0,SUBTOTAL(109,L172),
IF(SUBTOTAL(109,L171)&gt;0,SUBTOTAL(109,L171),
IF(SUBTOTAL(109,L170)&gt;0,SUBTOTAL(109,L170),
IF(SUBTOTAL(109,L169)&gt;0,SUBTOTAL(109,L169),
))))))))))))),1,0)</f>
        <v>0</v>
      </c>
      <c r="E182" s="971">
        <f>IF(AND(Расходы_4[[#This Row],[КЦ]]="14561Э",M181="14561Т"),1,
IF(Расходы_4[[#This Row],[КЦ]]&gt;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IF(SUBTOTAL(109,M172)&gt;0,SUBTOTAL(109,M172),
IF(SUBTOTAL(109,M171)&gt;0,SUBTOTAL(109,M171),
IF(SUBTOTAL(109,M170)&gt;0,SUBTOTAL(109,M170),
IF(SUBTOTAL(109,M169)&gt;0,SUBTOTAL(109,M169),
))))))))))))),1,0))</f>
        <v>1</v>
      </c>
      <c r="F182" s="971">
        <f>IF(Расходы_4[[#This Row],[КОСГУ]]&gt;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IF(SUBTOTAL(109,N172)&gt;0,SUBTOTAL(109,N172),
IF(SUBTOTAL(109,N171)&gt;0,SUBTOTAL(109,N171),
IF(SUBTOTAL(109,N170)&gt;0,SUBTOTAL(109,N170),
IF(SUBTOTAL(109,N169)&gt;0,SUBTOTAL(109,N169),
))))))))))))),1,0)</f>
        <v>0</v>
      </c>
      <c r="G182" s="971" t="e">
        <f ca="1">_xlfn.AGGREGATE(9,5,$D$139:D182)</f>
        <v>#NAME?</v>
      </c>
      <c r="H182" s="971" t="e">
        <f ca="1">_xlfn.AGGREGATE(9,5,$E$139:E182)</f>
        <v>#NAME?</v>
      </c>
      <c r="I182" s="971" t="e">
        <f ca="1">_xlfn.AGGREGATE(9,5,$F$139:F182)</f>
        <v>#NAME?</v>
      </c>
      <c r="J182" s="968" t="str">
        <f>IF(SUM(Расходы_4[[#This Row],[2 025]:[2 027]])=0,"000",".")</f>
        <v>000</v>
      </c>
      <c r="K182" s="965">
        <v>4</v>
      </c>
      <c r="L182" s="908">
        <v>244</v>
      </c>
      <c r="M182" s="1266">
        <v>31561</v>
      </c>
      <c r="N182" s="1266">
        <v>226</v>
      </c>
      <c r="O182" s="1344"/>
      <c r="P182" s="1379"/>
      <c r="Q182" s="1352"/>
      <c r="R182" s="1281" t="s">
        <v>935</v>
      </c>
      <c r="S182" s="1128"/>
      <c r="Y182" s="959"/>
      <c r="Z182" s="959"/>
      <c r="AA182" s="959"/>
      <c r="AB182" s="963"/>
      <c r="AE182" s="50">
        <f>COUNT(102,$AF$115:AF158)-1</f>
        <v>44</v>
      </c>
      <c r="AF182" s="50">
        <v>1</v>
      </c>
    </row>
    <row r="183" spans="1:32" ht="20.25" customHeight="1">
      <c r="A183" s="971">
        <f>IF(Расходы_4[[#This Row],[КВР]]&gt;=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IF(SUBTOTAL(109,L172)&gt;0,SUBTOTAL(109,L172),
IF(SUBTOTAL(109,L171)&gt;0,SUBTOTAL(109,L171),
IF(SUBTOTAL(109,L170)&gt;0,SUBTOTAL(109,L170),
))))))))))))),1,0)</f>
        <v>1</v>
      </c>
      <c r="B183" s="971">
        <f>IF(AND(Расходы_4[[#This Row],[КЦ]]="14561Э",M182="14561Т"),1,
IF(Расходы_4[[#This Row],[КЦ]]&gt;=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IF(SUBTOTAL(109,M172)&gt;0,SUBTOTAL(109,M172),
IF(SUBTOTAL(109,M171)&gt;0,SUBTOTAL(109,M171),
IF(SUBTOTAL(109,M170)&gt;0,SUBTOTAL(109,M170),
))))))))))))),1,0))</f>
        <v>1</v>
      </c>
      <c r="C183" s="971">
        <f>IF(Расходы_4[[#This Row],[КОСГУ]]&gt;=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IF(SUBTOTAL(109,N172)&gt;0,SUBTOTAL(109,N172),
IF(SUBTOTAL(109,N171)&gt;0,SUBTOTAL(109,N171),
IF(SUBTOTAL(109,N170)&gt;0,SUBTOTAL(109,N170),
))))))))))))),1,0)</f>
        <v>1</v>
      </c>
      <c r="D183" s="971">
        <f>IF(Расходы_4[[#This Row],[КВР]]&gt;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IF(SUBTOTAL(109,L172)&gt;0,SUBTOTAL(109,L172),
IF(SUBTOTAL(109,L171)&gt;0,SUBTOTAL(109,L171),
IF(SUBTOTAL(109,L170)&gt;0,SUBTOTAL(109,L170),
))))))))))))),1,0)</f>
        <v>0</v>
      </c>
      <c r="E183" s="971">
        <f>IF(AND(Расходы_4[[#This Row],[КЦ]]="14561Э",M182="14561Т"),1,
IF(Расходы_4[[#This Row],[КЦ]]&gt;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IF(SUBTOTAL(109,M172)&gt;0,SUBTOTAL(109,M172),
IF(SUBTOTAL(109,M171)&gt;0,SUBTOTAL(109,M171),
IF(SUBTOTAL(109,M170)&gt;0,SUBTOTAL(109,M170),
))))))))))))),1,0))</f>
        <v>0</v>
      </c>
      <c r="F183" s="971">
        <f>IF(Расходы_4[[#This Row],[КОСГУ]]&gt;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IF(SUBTOTAL(109,N172)&gt;0,SUBTOTAL(109,N172),
IF(SUBTOTAL(109,N171)&gt;0,SUBTOTAL(109,N171),
IF(SUBTOTAL(109,N170)&gt;0,SUBTOTAL(109,N170),
))))))))))))),1,0)</f>
        <v>1</v>
      </c>
      <c r="G183" s="971" t="e">
        <f ca="1">_xlfn.AGGREGATE(9,5,$D$139:D183)</f>
        <v>#NAME?</v>
      </c>
      <c r="H183" s="971" t="e">
        <f ca="1">_xlfn.AGGREGATE(9,5,$E$139:E183)</f>
        <v>#NAME?</v>
      </c>
      <c r="I183" s="971" t="e">
        <f ca="1">_xlfn.AGGREGATE(9,5,$F$139:F183)</f>
        <v>#NAME?</v>
      </c>
      <c r="J183" s="968" t="str">
        <f>IF(SUM(Расходы_4[[#This Row],[2 025]:[2 027]])=0,"000",".")</f>
        <v>000</v>
      </c>
      <c r="K183" s="965">
        <v>4</v>
      </c>
      <c r="L183" s="908">
        <v>244</v>
      </c>
      <c r="M183" s="908">
        <v>31561</v>
      </c>
      <c r="N183" s="908">
        <v>227</v>
      </c>
      <c r="O183" s="1341"/>
      <c r="P183" s="1375"/>
      <c r="Q183" s="1349"/>
      <c r="R183" s="1281" t="s">
        <v>245</v>
      </c>
      <c r="S183" s="1128"/>
      <c r="Y183" s="959"/>
      <c r="Z183" s="959"/>
      <c r="AA183" s="959"/>
      <c r="AB183" s="963"/>
      <c r="AE183" s="50">
        <f>COUNT(102,$AF$115:AF159)-1</f>
        <v>45</v>
      </c>
      <c r="AF183" s="50">
        <v>1</v>
      </c>
    </row>
    <row r="184" spans="1:32" ht="20.25" customHeight="1">
      <c r="A184" s="971">
        <f>IF(Расходы_4[[#This Row],[КВР]]&gt;=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IF(SUBTOTAL(109,L172)&gt;0,SUBTOTAL(109,L172),
IF(SUBTOTAL(109,L171)&gt;0,SUBTOTAL(109,L171),
))))))))))))),1,0)</f>
        <v>1</v>
      </c>
      <c r="B184" s="971">
        <f>IF(AND(Расходы_4[[#This Row],[КЦ]]="14561Э",M183="14561Т"),1,
IF(Расходы_4[[#This Row],[КЦ]]&gt;=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IF(SUBTOTAL(109,M172)&gt;0,SUBTOTAL(109,M172),
IF(SUBTOTAL(109,M171)&gt;0,SUBTOTAL(109,M171),
))))))))))))),1,0))</f>
        <v>1</v>
      </c>
      <c r="C184" s="971">
        <f>IF(Расходы_4[[#This Row],[КОСГУ]]&gt;=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IF(SUBTOTAL(109,N172)&gt;0,SUBTOTAL(109,N172),
IF(SUBTOTAL(109,N171)&gt;0,SUBTOTAL(109,N171),
))))))))))))),1,0)</f>
        <v>1</v>
      </c>
      <c r="D184" s="971">
        <f>IF(Расходы_4[[#This Row],[КВР]]&gt;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IF(SUBTOTAL(109,L172)&gt;0,SUBTOTAL(109,L172),
IF(SUBTOTAL(109,L171)&gt;0,SUBTOTAL(109,L171),
))))))))))))),1,0)</f>
        <v>0</v>
      </c>
      <c r="E184" s="971">
        <f>IF(AND(Расходы_4[[#This Row],[КЦ]]="14561Э",M183="14561Т"),1,
IF(Расходы_4[[#This Row],[КЦ]]&gt;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IF(SUBTOTAL(109,M172)&gt;0,SUBTOTAL(109,M172),
IF(SUBTOTAL(109,M171)&gt;0,SUBTOTAL(109,M171),
))))))))))))),1,0))</f>
        <v>0</v>
      </c>
      <c r="F184" s="971">
        <f>IF(Расходы_4[[#This Row],[КОСГУ]]&gt;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IF(SUBTOTAL(109,N172)&gt;0,SUBTOTAL(109,N172),
IF(SUBTOTAL(109,N171)&gt;0,SUBTOTAL(109,N171),
))))))))))))),1,0)</f>
        <v>1</v>
      </c>
      <c r="G184" s="971" t="e">
        <f ca="1">_xlfn.AGGREGATE(9,5,$D$139:D184)</f>
        <v>#NAME?</v>
      </c>
      <c r="H184" s="971" t="e">
        <f ca="1">_xlfn.AGGREGATE(9,5,$E$139:E184)</f>
        <v>#NAME?</v>
      </c>
      <c r="I184" s="971" t="e">
        <f ca="1">_xlfn.AGGREGATE(9,5,$F$139:F184)</f>
        <v>#NAME?</v>
      </c>
      <c r="J184" s="968" t="str">
        <f>IF(SUM(Расходы_4[[#This Row],[2 025]:[2 027]])=0,"000",".")</f>
        <v>000</v>
      </c>
      <c r="K184" s="965">
        <v>4</v>
      </c>
      <c r="L184" s="908">
        <v>244</v>
      </c>
      <c r="M184" s="908">
        <v>31561</v>
      </c>
      <c r="N184" s="908">
        <v>228</v>
      </c>
      <c r="O184" s="1341"/>
      <c r="P184" s="1375"/>
      <c r="Q184" s="1349"/>
      <c r="R184" s="1281" t="s">
        <v>246</v>
      </c>
      <c r="S184" s="1128"/>
      <c r="Y184" s="959"/>
      <c r="Z184" s="959"/>
      <c r="AA184" s="959"/>
      <c r="AB184" s="963"/>
      <c r="AE184" s="50">
        <f>COUNT(102,$AF$115:AF160)-1</f>
        <v>46</v>
      </c>
      <c r="AF184" s="50">
        <v>1</v>
      </c>
    </row>
    <row r="185" spans="1:32" ht="20.25" customHeight="1">
      <c r="A185" s="971">
        <f>IF(Расходы_4[[#This Row],[КВР]]&gt;=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IF(SUBTOTAL(109,L172)&gt;0,SUBTOTAL(109,L172),
))))))))))))),1,0)</f>
        <v>1</v>
      </c>
      <c r="B185" s="971">
        <f>IF(AND(Расходы_4[[#This Row],[КЦ]]="14561Э",M184="14561Т"),1,
IF(Расходы_4[[#This Row],[КЦ]]&gt;=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IF(SUBTOTAL(109,M172)&gt;0,SUBTOTAL(109,M172),
))))))))))))),1,0))</f>
        <v>1</v>
      </c>
      <c r="C185" s="971">
        <f>IF(Расходы_4[[#This Row],[КОСГУ]]&gt;=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IF(SUBTOTAL(109,N172)&gt;0,SUBTOTAL(109,N172),
))))))))))))),1,0)</f>
        <v>1</v>
      </c>
      <c r="D185" s="971">
        <f>IF(Расходы_4[[#This Row],[КВР]]&gt;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IF(SUBTOTAL(109,L172)&gt;0,SUBTOTAL(109,L172),
))))))))))))),1,0)</f>
        <v>0</v>
      </c>
      <c r="E185" s="971">
        <f>IF(AND(Расходы_4[[#This Row],[КЦ]]="14561Э",M184="14561Т"),1,
IF(Расходы_4[[#This Row],[КЦ]]&gt;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IF(SUBTOTAL(109,M172)&gt;0,SUBTOTAL(109,M172),
))))))))))))),1,0))</f>
        <v>0</v>
      </c>
      <c r="F185" s="971">
        <f>IF(Расходы_4[[#This Row],[КОСГУ]]&gt;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IF(SUBTOTAL(109,N172)&gt;0,SUBTOTAL(109,N172),
))))))))))))),1,0)</f>
        <v>1</v>
      </c>
      <c r="G185" s="971" t="e">
        <f ca="1">_xlfn.AGGREGATE(9,5,$D$139:D185)</f>
        <v>#NAME?</v>
      </c>
      <c r="H185" s="971" t="e">
        <f ca="1">_xlfn.AGGREGATE(9,5,$E$139:E185)</f>
        <v>#NAME?</v>
      </c>
      <c r="I185" s="971" t="e">
        <f ca="1">_xlfn.AGGREGATE(9,5,$F$139:F185)</f>
        <v>#NAME?</v>
      </c>
      <c r="J185" s="968" t="str">
        <f>IF(SUM(Расходы_4[[#This Row],[2 025]:[2 027]])=0,"000",".")</f>
        <v>000</v>
      </c>
      <c r="K185" s="965">
        <v>4</v>
      </c>
      <c r="L185" s="908">
        <v>244</v>
      </c>
      <c r="M185" s="908">
        <v>31561</v>
      </c>
      <c r="N185" s="908">
        <v>310</v>
      </c>
      <c r="O185" s="1341"/>
      <c r="P185" s="1375"/>
      <c r="Q185" s="1349"/>
      <c r="R185" s="1281" t="s">
        <v>1012</v>
      </c>
      <c r="S185" s="1128"/>
      <c r="Y185" s="959"/>
      <c r="Z185" s="959"/>
      <c r="AA185" s="959"/>
      <c r="AB185" s="963"/>
      <c r="AE185" s="50">
        <f>COUNT(102,$AF$115:AF161)-1</f>
        <v>47</v>
      </c>
      <c r="AF185" s="50">
        <v>1</v>
      </c>
    </row>
    <row r="186" spans="1:32" ht="20.25" customHeight="1">
      <c r="A186" s="971">
        <f>IF(Расходы_4[[#This Row],[КВР]]&gt;=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))))))))))))),1,0)</f>
        <v>1</v>
      </c>
      <c r="B186" s="971">
        <f>IF(AND(Расходы_4[[#This Row],[КЦ]]="14561Э",M185="14561Т"),1,
IF(Расходы_4[[#This Row],[КЦ]]&gt;=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))))))))))))),1,0))</f>
        <v>1</v>
      </c>
      <c r="C186" s="971">
        <f>IF(Расходы_4[[#This Row],[КОСГУ]]&gt;=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))))))))))))),1,0)</f>
        <v>1</v>
      </c>
      <c r="D186" s="971">
        <f>IF(Расходы_4[[#This Row],[КВР]]&gt;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IF(SUBTOTAL(109,L173)&gt;0,SUBTOTAL(109,L173),
))))))))))))),1,0)</f>
        <v>0</v>
      </c>
      <c r="E186" s="971">
        <f>IF(AND(Расходы_4[[#This Row],[КЦ]]="14561Э",M185="14561Т"),1,
IF(Расходы_4[[#This Row],[КЦ]]&gt;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IF(SUBTOTAL(109,M173)&gt;0,SUBTOTAL(109,M173),
))))))))))))),1,0))</f>
        <v>0</v>
      </c>
      <c r="F186" s="971">
        <f>IF(Расходы_4[[#This Row],[КОСГУ]]&gt;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IF(SUBTOTAL(109,N173)&gt;0,SUBTOTAL(109,N173),
))))))))))))),1,0)</f>
        <v>1</v>
      </c>
      <c r="G186" s="971" t="e">
        <f ca="1">_xlfn.AGGREGATE(9,5,$D$139:D186)</f>
        <v>#NAME?</v>
      </c>
      <c r="H186" s="971" t="e">
        <f ca="1">_xlfn.AGGREGATE(9,5,$E$139:E186)</f>
        <v>#NAME?</v>
      </c>
      <c r="I186" s="971" t="e">
        <f ca="1">_xlfn.AGGREGATE(9,5,$F$139:F186)</f>
        <v>#NAME?</v>
      </c>
      <c r="J186" s="968" t="str">
        <f>IF(SUM(Расходы_4[[#This Row],[2 025]:[2 027]])=0,"000",".")</f>
        <v>000</v>
      </c>
      <c r="K186" s="965">
        <v>4</v>
      </c>
      <c r="L186" s="908">
        <v>244</v>
      </c>
      <c r="M186" s="908">
        <v>31561</v>
      </c>
      <c r="N186" s="908">
        <v>341</v>
      </c>
      <c r="O186" s="1341"/>
      <c r="P186" s="1375"/>
      <c r="Q186" s="1349"/>
      <c r="R186" s="1281" t="s">
        <v>247</v>
      </c>
      <c r="S186" s="1128"/>
      <c r="Y186" s="959"/>
      <c r="Z186" s="959"/>
      <c r="AA186" s="959"/>
      <c r="AB186" s="963"/>
      <c r="AE186" s="50">
        <f>COUNT(102,$AF$115:AF162)-1</f>
        <v>48</v>
      </c>
      <c r="AF186" s="50">
        <v>1</v>
      </c>
    </row>
    <row r="187" spans="1:32" ht="20.25" customHeight="1">
      <c r="A187" s="971">
        <f>IF(Расходы_4[[#This Row],[КВР]]&gt;=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))))))))))))),1,0)</f>
        <v>1</v>
      </c>
      <c r="B187" s="971">
        <f>IF(AND(Расходы_4[[#This Row],[КЦ]]="14561Э",M186="14561Т"),1,
IF(Расходы_4[[#This Row],[КЦ]]&gt;=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))))))))))))),1,0))</f>
        <v>1</v>
      </c>
      <c r="C187" s="971">
        <f>IF(Расходы_4[[#This Row],[КОСГУ]]&gt;=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))))))))))))),1,0)</f>
        <v>1</v>
      </c>
      <c r="D187" s="971">
        <f>IF(Расходы_4[[#This Row],[КВР]]&gt;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IF(SUBTOTAL(109,L174)&gt;0,SUBTOTAL(109,L174),
))))))))))))),1,0)</f>
        <v>0</v>
      </c>
      <c r="E187" s="971">
        <f>IF(AND(Расходы_4[[#This Row],[КЦ]]="14561Э",M186="14561Т"),1,
IF(Расходы_4[[#This Row],[КЦ]]&gt;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IF(SUBTOTAL(109,M174)&gt;0,SUBTOTAL(109,M174),
))))))))))))),1,0))</f>
        <v>0</v>
      </c>
      <c r="F187" s="971">
        <f>IF(Расходы_4[[#This Row],[КОСГУ]]&gt;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IF(SUBTOTAL(109,N174)&gt;0,SUBTOTAL(109,N174),
))))))))))))),1,0)</f>
        <v>1</v>
      </c>
      <c r="G187" s="971" t="e">
        <f ca="1">_xlfn.AGGREGATE(9,5,$D$139:D187)</f>
        <v>#NAME?</v>
      </c>
      <c r="H187" s="971" t="e">
        <f ca="1">_xlfn.AGGREGATE(9,5,$E$139:E187)</f>
        <v>#NAME?</v>
      </c>
      <c r="I187" s="971" t="e">
        <f ca="1">_xlfn.AGGREGATE(9,5,$F$139:F187)</f>
        <v>#NAME?</v>
      </c>
      <c r="J187" s="968" t="str">
        <f>IF(SUM(Расходы_4[[#This Row],[2 025]:[2 027]])=0,"000",".")</f>
        <v>000</v>
      </c>
      <c r="K187" s="965">
        <v>4</v>
      </c>
      <c r="L187" s="908">
        <v>244</v>
      </c>
      <c r="M187" s="908">
        <v>31561</v>
      </c>
      <c r="N187" s="908">
        <v>342</v>
      </c>
      <c r="O187" s="1341"/>
      <c r="P187" s="1375"/>
      <c r="Q187" s="1349"/>
      <c r="R187" s="1281" t="s">
        <v>248</v>
      </c>
      <c r="S187" s="1128"/>
      <c r="W187" s="915"/>
      <c r="Y187" s="959"/>
      <c r="Z187" s="959"/>
      <c r="AA187" s="959"/>
      <c r="AB187" s="963"/>
      <c r="AE187" s="50">
        <f>COUNT(102,$AF$115:AF163)-1</f>
        <v>49</v>
      </c>
      <c r="AF187" s="50">
        <v>1</v>
      </c>
    </row>
    <row r="188" spans="1:32" ht="20.25" customHeight="1">
      <c r="A188" s="971">
        <f>IF(Расходы_4[[#This Row],[КВР]]&gt;=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))))))))))))),1,0)</f>
        <v>1</v>
      </c>
      <c r="B188" s="971">
        <f>IF(AND(Расходы_4[[#This Row],[КЦ]]="14561Э",M187="14561Т"),1,
IF(Расходы_4[[#This Row],[КЦ]]&gt;=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))))))))))))),1,0))</f>
        <v>1</v>
      </c>
      <c r="C188" s="971">
        <f>IF(Расходы_4[[#This Row],[КОСГУ]]&gt;=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))))))))))))),1,0)</f>
        <v>1</v>
      </c>
      <c r="D188" s="971">
        <f>IF(Расходы_4[[#This Row],[КВР]]&gt;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IF(SUBTOTAL(109,L175)&gt;0,SUBTOTAL(109,L175),
))))))))))))),1,0)</f>
        <v>0</v>
      </c>
      <c r="E188" s="971">
        <f>IF(AND(Расходы_4[[#This Row],[КЦ]]="14561Э",M187="14561Т"),1,
IF(Расходы_4[[#This Row],[КЦ]]&gt;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IF(SUBTOTAL(109,M175)&gt;0,SUBTOTAL(109,M175),
))))))))))))),1,0))</f>
        <v>0</v>
      </c>
      <c r="F188" s="971">
        <f>IF(Расходы_4[[#This Row],[КОСГУ]]&gt;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IF(SUBTOTAL(109,N175)&gt;0,SUBTOTAL(109,N175),
))))))))))))),1,0)</f>
        <v>1</v>
      </c>
      <c r="G188" s="971" t="e">
        <f ca="1">_xlfn.AGGREGATE(9,5,$D$139:D188)</f>
        <v>#NAME?</v>
      </c>
      <c r="H188" s="971" t="e">
        <f ca="1">_xlfn.AGGREGATE(9,5,$E$139:E188)</f>
        <v>#NAME?</v>
      </c>
      <c r="I188" s="971" t="e">
        <f ca="1">_xlfn.AGGREGATE(9,5,$F$139:F188)</f>
        <v>#NAME?</v>
      </c>
      <c r="J188" s="968" t="str">
        <f>IF(SUM(Расходы_4[[#This Row],[2 025]:[2 027]])=0,"000",".")</f>
        <v>000</v>
      </c>
      <c r="K188" s="965">
        <v>4</v>
      </c>
      <c r="L188" s="908">
        <v>244</v>
      </c>
      <c r="M188" s="908">
        <v>31561</v>
      </c>
      <c r="N188" s="908">
        <v>344</v>
      </c>
      <c r="O188" s="1341"/>
      <c r="P188" s="1375"/>
      <c r="Q188" s="1349"/>
      <c r="R188" s="1281" t="s">
        <v>250</v>
      </c>
      <c r="S188" s="1128"/>
      <c r="W188" s="915"/>
      <c r="Y188" s="959"/>
      <c r="Z188" s="959"/>
      <c r="AA188" s="959"/>
      <c r="AB188" s="963"/>
      <c r="AE188" s="50">
        <f>COUNT(102,$AF$115:AF164)-1</f>
        <v>50</v>
      </c>
      <c r="AF188" s="50">
        <v>1</v>
      </c>
    </row>
    <row r="189" spans="1:32" ht="20.25" customHeight="1">
      <c r="A189" s="971">
        <f>IF(Расходы_4[[#This Row],[КВР]]&gt;=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))))))))))))),1,0)</f>
        <v>1</v>
      </c>
      <c r="B189" s="971">
        <f>IF(AND(Расходы_4[[#This Row],[КЦ]]="14561Э",M188="14561Т"),1,
IF(Расходы_4[[#This Row],[КЦ]]&gt;=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))))))))))))),1,0))</f>
        <v>1</v>
      </c>
      <c r="C189" s="971">
        <f>IF(Расходы_4[[#This Row],[КОСГУ]]&gt;=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))))))))))))),1,0)</f>
        <v>1</v>
      </c>
      <c r="D189" s="971">
        <f>IF(Расходы_4[[#This Row],[КВР]]&gt;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IF(SUBTOTAL(109,L176)&gt;0,SUBTOTAL(109,L176),
))))))))))))),1,0)</f>
        <v>0</v>
      </c>
      <c r="E189" s="971">
        <f>IF(AND(Расходы_4[[#This Row],[КЦ]]="14561Э",M188="14561Т"),1,
IF(Расходы_4[[#This Row],[КЦ]]&gt;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IF(SUBTOTAL(109,M176)&gt;0,SUBTOTAL(109,M176),
))))))))))))),1,0))</f>
        <v>0</v>
      </c>
      <c r="F189" s="971">
        <f>IF(Расходы_4[[#This Row],[КОСГУ]]&gt;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IF(SUBTOTAL(109,N176)&gt;0,SUBTOTAL(109,N176),
))))))))))))),1,0)</f>
        <v>1</v>
      </c>
      <c r="G189" s="971" t="e">
        <f ca="1">_xlfn.AGGREGATE(9,5,$D$139:D189)</f>
        <v>#NAME?</v>
      </c>
      <c r="H189" s="971" t="e">
        <f ca="1">_xlfn.AGGREGATE(9,5,$E$139:E189)</f>
        <v>#NAME?</v>
      </c>
      <c r="I189" s="971" t="e">
        <f ca="1">_xlfn.AGGREGATE(9,5,$F$139:F189)</f>
        <v>#NAME?</v>
      </c>
      <c r="J189" s="968" t="str">
        <f>IF(SUM(Расходы_4[[#This Row],[2 025]:[2 027]])=0,"000",".")</f>
        <v>000</v>
      </c>
      <c r="K189" s="965">
        <v>4</v>
      </c>
      <c r="L189" s="908">
        <v>244</v>
      </c>
      <c r="M189" s="908">
        <v>31561</v>
      </c>
      <c r="N189" s="908">
        <v>345</v>
      </c>
      <c r="O189" s="1341"/>
      <c r="P189" s="1375"/>
      <c r="Q189" s="1349"/>
      <c r="R189" s="1281" t="s">
        <v>251</v>
      </c>
      <c r="S189" s="1128"/>
      <c r="W189" s="915"/>
      <c r="Y189" s="959"/>
      <c r="Z189" s="959"/>
      <c r="AA189" s="959"/>
      <c r="AB189" s="963"/>
      <c r="AE189" s="50">
        <f>COUNT(102,$AF$115:AF165)-1</f>
        <v>51</v>
      </c>
      <c r="AF189" s="50">
        <v>1</v>
      </c>
    </row>
    <row r="190" spans="1:32" ht="20.25" customHeight="1">
      <c r="A190" s="971">
        <f>IF(Расходы_4[[#This Row],[КВР]]&gt;=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))))))))))))),1,0)</f>
        <v>1</v>
      </c>
      <c r="B190" s="971">
        <f>IF(AND(Расходы_4[[#This Row],[КЦ]]="14561Э",M189="14561Т"),1,
IF(Расходы_4[[#This Row],[КЦ]]&gt;=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))))))))))))),1,0))</f>
        <v>1</v>
      </c>
      <c r="C190" s="971">
        <f>IF(Расходы_4[[#This Row],[КОСГУ]]&gt;=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))))))))))))),1,0)</f>
        <v>1</v>
      </c>
      <c r="D190" s="971">
        <f>IF(Расходы_4[[#This Row],[КВР]]&gt;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IF(SUBTOTAL(109,L177)&gt;0,SUBTOTAL(109,L177),
))))))))))))),1,0)</f>
        <v>0</v>
      </c>
      <c r="E190" s="971">
        <f>IF(AND(Расходы_4[[#This Row],[КЦ]]="14561Э",M189="14561Т"),1,
IF(Расходы_4[[#This Row],[КЦ]]&gt;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IF(SUBTOTAL(109,M177)&gt;0,SUBTOTAL(109,M177),
))))))))))))),1,0))</f>
        <v>0</v>
      </c>
      <c r="F190" s="971">
        <f>IF(Расходы_4[[#This Row],[КОСГУ]]&gt;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IF(SUBTOTAL(109,N177)&gt;0,SUBTOTAL(109,N177),
))))))))))))),1,0)</f>
        <v>1</v>
      </c>
      <c r="G190" s="971" t="e">
        <f ca="1">_xlfn.AGGREGATE(9,5,$D$139:D190)</f>
        <v>#NAME?</v>
      </c>
      <c r="H190" s="971" t="e">
        <f ca="1">_xlfn.AGGREGATE(9,5,$E$139:E190)</f>
        <v>#NAME?</v>
      </c>
      <c r="I190" s="971" t="e">
        <f ca="1">_xlfn.AGGREGATE(9,5,$F$139:F190)</f>
        <v>#NAME?</v>
      </c>
      <c r="J190" s="968" t="str">
        <f>IF(SUM(Расходы_4[[#This Row],[2 025]:[2 027]])=0,"000",".")</f>
        <v>000</v>
      </c>
      <c r="K190" s="965">
        <v>4</v>
      </c>
      <c r="L190" s="908">
        <v>244</v>
      </c>
      <c r="M190" s="908">
        <v>31561</v>
      </c>
      <c r="N190" s="908">
        <v>346</v>
      </c>
      <c r="O190" s="1341"/>
      <c r="P190" s="1375"/>
      <c r="Q190" s="1349"/>
      <c r="R190" s="1281" t="s">
        <v>252</v>
      </c>
      <c r="S190" s="1128"/>
      <c r="Y190" s="959"/>
      <c r="Z190" s="959"/>
      <c r="AA190" s="959"/>
      <c r="AB190" s="963"/>
      <c r="AE190" s="50">
        <f>COUNT(102,$AF$115:AF166)-1</f>
        <v>52</v>
      </c>
      <c r="AF190" s="50">
        <v>1</v>
      </c>
    </row>
    <row r="191" spans="1:32" ht="20.25" customHeight="1">
      <c r="A191" s="971">
        <f>IF(Расходы_4[[#This Row],[КВР]]&gt;=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))))))))))))),1,0)</f>
        <v>1</v>
      </c>
      <c r="B191" s="971">
        <f>IF(AND(Расходы_4[[#This Row],[КЦ]]="14561Э",M190="14561Т"),1,
IF(Расходы_4[[#This Row],[КЦ]]&gt;=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))))))))))))),1,0))</f>
        <v>1</v>
      </c>
      <c r="C191" s="971">
        <f>IF(Расходы_4[[#This Row],[КОСГУ]]&gt;=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))))))))))))),1,0)</f>
        <v>1</v>
      </c>
      <c r="D191" s="971">
        <f>IF(Расходы_4[[#This Row],[КВР]]&gt;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IF(SUBTOTAL(109,L178)&gt;0,SUBTOTAL(109,L178),
))))))))))))),1,0)</f>
        <v>0</v>
      </c>
      <c r="E191" s="971">
        <f>IF(AND(Расходы_4[[#This Row],[КЦ]]="14561Э",M190="14561Т"),1,
IF(Расходы_4[[#This Row],[КЦ]]&gt;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IF(SUBTOTAL(109,M178)&gt;0,SUBTOTAL(109,M178),
))))))))))))),1,0))</f>
        <v>0</v>
      </c>
      <c r="F191" s="971">
        <f>IF(Расходы_4[[#This Row],[КОСГУ]]&gt;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IF(SUBTOTAL(109,N178)&gt;0,SUBTOTAL(109,N178),
))))))))))))),1,0)</f>
        <v>1</v>
      </c>
      <c r="G191" s="971" t="e">
        <f ca="1">_xlfn.AGGREGATE(9,5,$D$139:D191)</f>
        <v>#NAME?</v>
      </c>
      <c r="H191" s="971" t="e">
        <f ca="1">_xlfn.AGGREGATE(9,5,$E$139:E191)</f>
        <v>#NAME?</v>
      </c>
      <c r="I191" s="971" t="e">
        <f ca="1">_xlfn.AGGREGATE(9,5,$F$139:F191)</f>
        <v>#NAME?</v>
      </c>
      <c r="J191" s="968" t="str">
        <f>IF(SUM(Расходы_4[[#This Row],[2 025]:[2 027]])=0,"000",".")</f>
        <v>000</v>
      </c>
      <c r="K191" s="965">
        <v>4</v>
      </c>
      <c r="L191" s="908">
        <v>244</v>
      </c>
      <c r="M191" s="908">
        <v>31561</v>
      </c>
      <c r="N191" s="908">
        <v>347</v>
      </c>
      <c r="O191" s="1341"/>
      <c r="P191" s="1375"/>
      <c r="Q191" s="1349"/>
      <c r="R191" s="1281" t="s">
        <v>253</v>
      </c>
      <c r="S191" s="1128"/>
      <c r="Y191" s="959"/>
      <c r="Z191" s="959"/>
      <c r="AA191" s="959"/>
      <c r="AB191" s="963"/>
      <c r="AE191" s="50">
        <f>COUNT(102,$AF$115:AF167)-1</f>
        <v>53</v>
      </c>
      <c r="AF191" s="50">
        <v>1</v>
      </c>
    </row>
    <row r="192" spans="1:32" ht="20.25" customHeight="1">
      <c r="A192" s="971">
        <f>IF(Расходы_4[[#This Row],[КВР]]&gt;=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))))))))))))),1,0)</f>
        <v>1</v>
      </c>
      <c r="B192" s="971">
        <f>IF(AND(Расходы_4[[#This Row],[КЦ]]="14561Э",M191="14561Т"),1,
IF(Расходы_4[[#This Row],[КЦ]]&gt;=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))))))))))))),1,0))</f>
        <v>1</v>
      </c>
      <c r="C192" s="971">
        <f>IF(Расходы_4[[#This Row],[КОСГУ]]&gt;=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))))))))))))),1,0)</f>
        <v>1</v>
      </c>
      <c r="D192" s="971">
        <f>IF(Расходы_4[[#This Row],[КВР]]&gt;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IF(SUBTOTAL(109,L179)&gt;0,SUBTOTAL(109,L179),
))))))))))))),1,0)</f>
        <v>0</v>
      </c>
      <c r="E192" s="971">
        <f>IF(AND(Расходы_4[[#This Row],[КЦ]]="14561Э",M191="14561Т"),1,
IF(Расходы_4[[#This Row],[КЦ]]&gt;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IF(SUBTOTAL(109,M179)&gt;0,SUBTOTAL(109,M179),
))))))))))))),1,0))</f>
        <v>0</v>
      </c>
      <c r="F192" s="971">
        <f>IF(Расходы_4[[#This Row],[КОСГУ]]&gt;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IF(SUBTOTAL(109,N179)&gt;0,SUBTOTAL(109,N179),
))))))))))))),1,0)</f>
        <v>1</v>
      </c>
      <c r="G192" s="971" t="e">
        <f ca="1">_xlfn.AGGREGATE(9,5,$D$139:D192)</f>
        <v>#NAME?</v>
      </c>
      <c r="H192" s="971" t="e">
        <f ca="1">_xlfn.AGGREGATE(9,5,$E$139:E192)</f>
        <v>#NAME?</v>
      </c>
      <c r="I192" s="971" t="e">
        <f ca="1">_xlfn.AGGREGATE(9,5,$F$139:F192)</f>
        <v>#NAME?</v>
      </c>
      <c r="J192" s="968" t="str">
        <f>IF(SUM(Расходы_4[[#This Row],[2 025]:[2 027]])=0,"000",".")</f>
        <v>000</v>
      </c>
      <c r="K192" s="965">
        <v>4</v>
      </c>
      <c r="L192" s="908">
        <v>244</v>
      </c>
      <c r="M192" s="908">
        <v>31561</v>
      </c>
      <c r="N192" s="908">
        <v>349</v>
      </c>
      <c r="O192" s="1341"/>
      <c r="P192" s="1375"/>
      <c r="Q192" s="1349"/>
      <c r="R192" s="1281" t="s">
        <v>254</v>
      </c>
      <c r="S192" s="1128"/>
      <c r="Y192" s="959"/>
      <c r="Z192" s="959"/>
      <c r="AA192" s="959"/>
      <c r="AB192" s="963"/>
      <c r="AE192" s="50">
        <f>COUNT(102,$AF$115:AF168)-1</f>
        <v>54</v>
      </c>
      <c r="AF192" s="50">
        <v>1</v>
      </c>
    </row>
    <row r="193" spans="1:32" ht="20.25" customHeight="1">
      <c r="A193" s="971">
        <f>IF(Расходы_4[[#This Row],[КВР]]&gt;=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))))))))))))),1,0)</f>
        <v>1</v>
      </c>
      <c r="B193" s="971">
        <f>IF(AND(Расходы_4[[#This Row],[КЦ]]="14561Э",M192="14561Т"),1,
IF(Расходы_4[[#This Row],[КЦ]]&gt;=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))))))))))))),1,0))</f>
        <v>1</v>
      </c>
      <c r="C193" s="971">
        <f>IF(Расходы_4[[#This Row],[КОСГУ]]&gt;=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))))))))))))),1,0)</f>
        <v>0</v>
      </c>
      <c r="D193" s="971">
        <f>IF(Расходы_4[[#This Row],[КВР]]&gt;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))))))))))))),1,0)</f>
        <v>0</v>
      </c>
      <c r="E193" s="971">
        <f>IF(AND(Расходы_4[[#This Row],[КЦ]]="14561Э",M192="14561Т"),1,
IF(Расходы_4[[#This Row],[КЦ]]&gt;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))))))))))))),1,0))</f>
        <v>1</v>
      </c>
      <c r="F193" s="971">
        <f>IF(Расходы_4[[#This Row],[КОСГУ]]&gt;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))))))))))))),1,0)</f>
        <v>0</v>
      </c>
      <c r="G193" s="971" t="e">
        <f ca="1">_xlfn.AGGREGATE(9,5,$D$139:D193)</f>
        <v>#NAME?</v>
      </c>
      <c r="H193" s="971" t="e">
        <f ca="1">_xlfn.AGGREGATE(9,5,$E$139:E193)</f>
        <v>#NAME?</v>
      </c>
      <c r="I193" s="971" t="e">
        <f ca="1">_xlfn.AGGREGATE(9,5,$F$139:F193)</f>
        <v>#NAME?</v>
      </c>
      <c r="J193" s="968" t="str">
        <f>IF(SUM(Расходы_4[[#This Row],[2 025]:[2 027]])=0,"000",".")</f>
        <v>000</v>
      </c>
      <c r="K193" s="965">
        <v>4</v>
      </c>
      <c r="L193" s="908">
        <v>244</v>
      </c>
      <c r="M193" s="908">
        <v>31562</v>
      </c>
      <c r="N193" s="908">
        <v>222</v>
      </c>
      <c r="O193" s="1341"/>
      <c r="P193" s="1375"/>
      <c r="Q193" s="1349"/>
      <c r="R193" s="1281" t="s">
        <v>281</v>
      </c>
      <c r="S193" s="1128"/>
      <c r="Y193" s="959"/>
      <c r="Z193" s="959"/>
      <c r="AA193" s="959"/>
      <c r="AB193" s="963"/>
      <c r="AE193" s="50">
        <f>COUNT(102,$AF$115:AF169)-1</f>
        <v>55</v>
      </c>
      <c r="AF193" s="50">
        <v>1</v>
      </c>
    </row>
    <row r="194" spans="1:32" ht="20.25" customHeight="1">
      <c r="A194" s="971">
        <f>IF(Расходы_4[[#This Row],[КВР]]&gt;=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))))))))))))),1,0)</f>
        <v>1</v>
      </c>
      <c r="B194" s="971">
        <f>IF(AND(Расходы_4[[#This Row],[КЦ]]="14561Э",M193="14561Т"),1,
IF(Расходы_4[[#This Row],[КЦ]]&gt;=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))))))))))))),1,0))</f>
        <v>1</v>
      </c>
      <c r="C194" s="971">
        <f>IF(Расходы_4[[#This Row],[КОСГУ]]&gt;=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))))))))))))),1,0)</f>
        <v>1</v>
      </c>
      <c r="D194" s="971">
        <f>IF(Расходы_4[[#This Row],[КВР]]&gt;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))))))))))))),1,0)</f>
        <v>0</v>
      </c>
      <c r="E194" s="971">
        <f>IF(AND(Расходы_4[[#This Row],[КЦ]]="14561Э",M193="14561Т"),1,
IF(Расходы_4[[#This Row],[КЦ]]&gt;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))))))))))))),1,0))</f>
        <v>0</v>
      </c>
      <c r="F194" s="971">
        <f>IF(Расходы_4[[#This Row],[КОСГУ]]&gt;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))))))))))))),1,0)</f>
        <v>1</v>
      </c>
      <c r="G194" s="971" t="e">
        <f ca="1">_xlfn.AGGREGATE(9,5,$D$139:D194)</f>
        <v>#NAME?</v>
      </c>
      <c r="H194" s="971" t="e">
        <f ca="1">_xlfn.AGGREGATE(9,5,$E$139:E194)</f>
        <v>#NAME?</v>
      </c>
      <c r="I194" s="971" t="e">
        <f ca="1">_xlfn.AGGREGATE(9,5,$F$139:F194)</f>
        <v>#NAME?</v>
      </c>
      <c r="J194" s="968" t="str">
        <f>IF(SUM(Расходы_4[[#This Row],[2 025]:[2 027]])=0,"000",".")</f>
        <v>000</v>
      </c>
      <c r="K194" s="965">
        <v>4</v>
      </c>
      <c r="L194" s="908">
        <v>244</v>
      </c>
      <c r="M194" s="908">
        <v>31562</v>
      </c>
      <c r="N194" s="908">
        <v>224</v>
      </c>
      <c r="O194" s="1341"/>
      <c r="P194" s="1375"/>
      <c r="Q194" s="1349"/>
      <c r="R194" s="1281" t="s">
        <v>266</v>
      </c>
      <c r="S194" s="1128"/>
      <c r="Y194" s="959"/>
      <c r="Z194" s="959"/>
      <c r="AA194" s="959"/>
      <c r="AB194" s="963"/>
      <c r="AE194" s="50">
        <f>COUNT(102,$AF$115:AF170)-1</f>
        <v>56</v>
      </c>
      <c r="AF194" s="50">
        <v>1</v>
      </c>
    </row>
    <row r="195" spans="1:32" ht="20.25" customHeight="1">
      <c r="A195" s="971">
        <f>IF(Расходы_4[[#This Row],[КВР]]&gt;=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))))))))))))),1,0)</f>
        <v>1</v>
      </c>
      <c r="B195" s="971">
        <f>IF(AND(Расходы_4[[#This Row],[КЦ]]="14561Э",M194="14561Т"),1,
IF(Расходы_4[[#This Row],[КЦ]]&gt;=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))))))))))))),1,0))</f>
        <v>1</v>
      </c>
      <c r="C195" s="971">
        <f>IF(Расходы_4[[#This Row],[КОСГУ]]&gt;=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))))))))))))),1,0)</f>
        <v>1</v>
      </c>
      <c r="D195" s="971">
        <f>IF(Расходы_4[[#This Row],[КВР]]&gt;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))))))))))))),1,0)</f>
        <v>0</v>
      </c>
      <c r="E195" s="971">
        <f>IF(AND(Расходы_4[[#This Row],[КЦ]]="14561Э",M194="14561Т"),1,
IF(Расходы_4[[#This Row],[КЦ]]&gt;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))))))))))))),1,0))</f>
        <v>0</v>
      </c>
      <c r="F195" s="971">
        <f>IF(Расходы_4[[#This Row],[КОСГУ]]&gt;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))))))))))))),1,0)</f>
        <v>1</v>
      </c>
      <c r="G195" s="971" t="e">
        <f ca="1">_xlfn.AGGREGATE(9,5,$D$139:D195)</f>
        <v>#NAME?</v>
      </c>
      <c r="H195" s="971" t="e">
        <f ca="1">_xlfn.AGGREGATE(9,5,$E$139:E195)</f>
        <v>#NAME?</v>
      </c>
      <c r="I195" s="971" t="e">
        <f ca="1">_xlfn.AGGREGATE(9,5,$F$139:F195)</f>
        <v>#NAME?</v>
      </c>
      <c r="J195" s="968" t="str">
        <f>IF(SUM(Расходы_4[[#This Row],[2 025]:[2 027]])=0,"000",".")</f>
        <v>.</v>
      </c>
      <c r="K195" s="965">
        <v>4</v>
      </c>
      <c r="L195" s="908">
        <v>244</v>
      </c>
      <c r="M195" s="908">
        <v>31562</v>
      </c>
      <c r="N195" s="908">
        <v>226</v>
      </c>
      <c r="O195" s="1341">
        <v>4310.8500000000004</v>
      </c>
      <c r="P195" s="1375"/>
      <c r="Q195" s="1349"/>
      <c r="R195" s="1281" t="s">
        <v>935</v>
      </c>
      <c r="S195" s="1128"/>
      <c r="Y195" s="959"/>
      <c r="Z195" s="959"/>
      <c r="AA195" s="959"/>
      <c r="AB195" s="963"/>
      <c r="AE195" s="50">
        <f>COUNT(102,$AF$115:AF171)-1</f>
        <v>57</v>
      </c>
      <c r="AF195" s="50">
        <v>1</v>
      </c>
    </row>
    <row r="196" spans="1:32" ht="20.25" customHeight="1">
      <c r="A196" s="971">
        <f>IF(Расходы_4[[#This Row],[КВР]]&gt;=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))))))))))))),1,0)</f>
        <v>1</v>
      </c>
      <c r="B196" s="971">
        <f>IF(AND(Расходы_4[[#This Row],[КЦ]]="14561Э",M195="14561Т"),1,
IF(Расходы_4[[#This Row],[КЦ]]&gt;=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))))))))))))),1,0))</f>
        <v>1</v>
      </c>
      <c r="C196" s="971">
        <f>IF(Расходы_4[[#This Row],[КОСГУ]]&gt;=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))))))))))))),1,0)</f>
        <v>1</v>
      </c>
      <c r="D196" s="971">
        <f>IF(Расходы_4[[#This Row],[КВР]]&gt;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))))))))))))),1,0)</f>
        <v>0</v>
      </c>
      <c r="E196" s="971">
        <f>IF(AND(Расходы_4[[#This Row],[КЦ]]="14561Э",M195="14561Т"),1,
IF(Расходы_4[[#This Row],[КЦ]]&gt;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))))))))))))),1,0))</f>
        <v>0</v>
      </c>
      <c r="F196" s="971">
        <f>IF(Расходы_4[[#This Row],[КОСГУ]]&gt;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))))))))))))),1,0)</f>
        <v>1</v>
      </c>
      <c r="G196" s="971" t="e">
        <f ca="1">_xlfn.AGGREGATE(9,5,$D$139:D196)</f>
        <v>#NAME?</v>
      </c>
      <c r="H196" s="971" t="e">
        <f ca="1">_xlfn.AGGREGATE(9,5,$E$139:E196)</f>
        <v>#NAME?</v>
      </c>
      <c r="I196" s="971" t="e">
        <f ca="1">_xlfn.AGGREGATE(9,5,$F$139:F196)</f>
        <v>#NAME?</v>
      </c>
      <c r="J196" s="968" t="str">
        <f>IF(SUM(Расходы_4[[#This Row],[2 025]:[2 027]])=0,"000",".")</f>
        <v>000</v>
      </c>
      <c r="K196" s="965">
        <v>4</v>
      </c>
      <c r="L196" s="908">
        <v>244</v>
      </c>
      <c r="M196" s="908">
        <v>31562</v>
      </c>
      <c r="N196" s="908">
        <v>227</v>
      </c>
      <c r="O196" s="1341"/>
      <c r="P196" s="1375"/>
      <c r="Q196" s="1349"/>
      <c r="R196" s="1281" t="s">
        <v>245</v>
      </c>
      <c r="S196" s="1128"/>
      <c r="Y196" s="959"/>
      <c r="Z196" s="959"/>
      <c r="AA196" s="959"/>
      <c r="AB196" s="963"/>
      <c r="AE196" s="50">
        <f>COUNT(102,$AF$115:AF172)-1</f>
        <v>58</v>
      </c>
      <c r="AF196" s="50">
        <v>1</v>
      </c>
    </row>
    <row r="197" spans="1:32" ht="20.25" customHeight="1" thickBot="1">
      <c r="A197" s="971">
        <f>IF(Расходы_4[[#This Row],[КВР]]&gt;=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))))))))))))),1,0)</f>
        <v>1</v>
      </c>
      <c r="B197" s="971">
        <f>IF(AND(Расходы_4[[#This Row],[КЦ]]="14561Э",M196="14561Т"),1,
IF(Расходы_4[[#This Row],[КЦ]]&gt;=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))))))))))))),1,0))</f>
        <v>1</v>
      </c>
      <c r="C197" s="971">
        <f>IF(Расходы_4[[#This Row],[КОСГУ]]&gt;=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))))))))))))),1,0)</f>
        <v>1</v>
      </c>
      <c r="D197" s="971">
        <f>IF(Расходы_4[[#This Row],[КВР]]&gt;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))))))))))))),1,0)</f>
        <v>0</v>
      </c>
      <c r="E197" s="971">
        <f>IF(AND(Расходы_4[[#This Row],[КЦ]]="14561Э",M196="14561Т"),1,
IF(Расходы_4[[#This Row],[КЦ]]&gt;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))))))))))))),1,0))</f>
        <v>0</v>
      </c>
      <c r="F197" s="971">
        <f>IF(Расходы_4[[#This Row],[КОСГУ]]&gt;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))))))))))))),1,0)</f>
        <v>1</v>
      </c>
      <c r="G197" s="971" t="e">
        <f ca="1">_xlfn.AGGREGATE(9,5,$D$139:D197)</f>
        <v>#NAME?</v>
      </c>
      <c r="H197" s="971" t="e">
        <f ca="1">_xlfn.AGGREGATE(9,5,$E$139:E197)</f>
        <v>#NAME?</v>
      </c>
      <c r="I197" s="971" t="e">
        <f ca="1">_xlfn.AGGREGATE(9,5,$F$139:F197)</f>
        <v>#NAME?</v>
      </c>
      <c r="J197" s="968" t="str">
        <f>IF(SUM(Расходы_4[[#This Row],[2 025]:[2 027]])=0,"000",".")</f>
        <v>000</v>
      </c>
      <c r="K197" s="965">
        <v>4</v>
      </c>
      <c r="L197" s="908">
        <v>244</v>
      </c>
      <c r="M197" s="909">
        <v>31562</v>
      </c>
      <c r="N197" s="909">
        <v>228</v>
      </c>
      <c r="O197" s="1342"/>
      <c r="P197" s="1377"/>
      <c r="Q197" s="1350"/>
      <c r="R197" s="1281" t="s">
        <v>246</v>
      </c>
      <c r="S197" s="1128"/>
      <c r="Y197" s="959"/>
      <c r="Z197" s="959"/>
      <c r="AA197" s="959"/>
      <c r="AB197" s="963"/>
      <c r="AE197" s="50">
        <f>COUNT(102,$AF$115:AF173)-1</f>
        <v>59</v>
      </c>
      <c r="AF197" s="50">
        <v>1</v>
      </c>
    </row>
    <row r="198" spans="1:32" ht="20.25" customHeight="1" thickBot="1">
      <c r="A198" s="971">
        <f>IF(Расходы_4[[#This Row],[КВР]]&gt;=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))))))))))))),1,0)</f>
        <v>1</v>
      </c>
      <c r="B198" s="971">
        <f>IF(AND(Расходы_4[[#This Row],[КЦ]]="14561Э",M197="14561Т"),1,
IF(Расходы_4[[#This Row],[КЦ]]&gt;=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))))))))))))),1,0))</f>
        <v>1</v>
      </c>
      <c r="C198" s="971">
        <f>IF(Расходы_4[[#This Row],[КОСГУ]]&gt;=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))))))))))))),1,0)</f>
        <v>1</v>
      </c>
      <c r="D198" s="971">
        <f>IF(Расходы_4[[#This Row],[КВР]]&gt;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))))))))))))),1,0)</f>
        <v>0</v>
      </c>
      <c r="E198" s="971">
        <f>IF(AND(Расходы_4[[#This Row],[КЦ]]="14561Э",M197="14561Т"),1,
IF(Расходы_4[[#This Row],[КЦ]]&gt;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))))))))))))),1,0))</f>
        <v>0</v>
      </c>
      <c r="F198" s="971">
        <f>IF(Расходы_4[[#This Row],[КОСГУ]]&gt;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))))))))))))),1,0)</f>
        <v>1</v>
      </c>
      <c r="G198" s="971" t="e">
        <f ca="1">_xlfn.AGGREGATE(9,5,$D$139:D198)</f>
        <v>#NAME?</v>
      </c>
      <c r="H198" s="971" t="e">
        <f ca="1">_xlfn.AGGREGATE(9,5,$E$139:E198)</f>
        <v>#NAME?</v>
      </c>
      <c r="I198" s="971" t="e">
        <f ca="1">_xlfn.AGGREGATE(9,5,$F$139:F198)</f>
        <v>#NAME?</v>
      </c>
      <c r="J198" s="968" t="str">
        <f>IF(SUM(Расходы_4[[#This Row],[2 025]:[2 027]])=0,"000",".")</f>
        <v>.</v>
      </c>
      <c r="K198" s="965">
        <v>4</v>
      </c>
      <c r="L198" s="1420">
        <v>244</v>
      </c>
      <c r="M198" s="1301">
        <v>31562</v>
      </c>
      <c r="N198" s="1272">
        <v>310</v>
      </c>
      <c r="O198" s="1417">
        <v>3086295</v>
      </c>
      <c r="P198" s="1417">
        <v>3086295</v>
      </c>
      <c r="Q198" s="1417">
        <v>3086295</v>
      </c>
      <c r="R198" s="1281" t="s">
        <v>1012</v>
      </c>
      <c r="S198" s="1128"/>
      <c r="Y198" s="959"/>
      <c r="Z198" s="959"/>
      <c r="AA198" s="959"/>
      <c r="AB198" s="963"/>
      <c r="AE198" s="50">
        <f>COUNT(102,$AF$115:AF174)-1</f>
        <v>60</v>
      </c>
      <c r="AF198" s="50">
        <v>1</v>
      </c>
    </row>
    <row r="199" spans="1:32" ht="20.25" customHeight="1">
      <c r="A199" s="971">
        <f>IF(Расходы_4[[#This Row],[КВР]]&gt;=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))))))))))))),1,0)</f>
        <v>1</v>
      </c>
      <c r="B199" s="971">
        <f>IF(AND(Расходы_4[[#This Row],[КЦ]]="14561Э",M198="14561Т"),1,
IF(Расходы_4[[#This Row],[КЦ]]&gt;=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))))))))))))),1,0))</f>
        <v>1</v>
      </c>
      <c r="C199" s="971">
        <f>IF(Расходы_4[[#This Row],[КОСГУ]]&gt;=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))))))))))))),1,0)</f>
        <v>1</v>
      </c>
      <c r="D199" s="971">
        <f>IF(Расходы_4[[#This Row],[КВР]]&gt;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IF(SUBTOTAL(109,L186)&gt;0,SUBTOTAL(109,L186),
))))))))))))),1,0)</f>
        <v>0</v>
      </c>
      <c r="E199" s="971">
        <f>IF(AND(Расходы_4[[#This Row],[КЦ]]="14561Э",M198="14561Т"),1,
IF(Расходы_4[[#This Row],[КЦ]]&gt;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IF(SUBTOTAL(109,M186)&gt;0,SUBTOTAL(109,M186),
))))))))))))),1,0))</f>
        <v>0</v>
      </c>
      <c r="F199" s="971">
        <f>IF(Расходы_4[[#This Row],[КОСГУ]]&gt;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IF(SUBTOTAL(109,N186)&gt;0,SUBTOTAL(109,N186),
))))))))))))),1,0)</f>
        <v>1</v>
      </c>
      <c r="G199" s="971" t="e">
        <f ca="1">_xlfn.AGGREGATE(9,5,$D$139:D199)</f>
        <v>#NAME?</v>
      </c>
      <c r="H199" s="971" t="e">
        <f ca="1">_xlfn.AGGREGATE(9,5,$E$139:E199)</f>
        <v>#NAME?</v>
      </c>
      <c r="I199" s="971" t="e">
        <f ca="1">_xlfn.AGGREGATE(9,5,$F$139:F199)</f>
        <v>#NAME?</v>
      </c>
      <c r="J199" s="968" t="str">
        <f>IF(SUM(Расходы_4[[#This Row],[2 025]:[2 027]])=0,"000",".")</f>
        <v>000</v>
      </c>
      <c r="K199" s="965">
        <v>4</v>
      </c>
      <c r="L199" s="908">
        <v>244</v>
      </c>
      <c r="M199" s="1266">
        <v>31562</v>
      </c>
      <c r="N199" s="1266">
        <v>341</v>
      </c>
      <c r="O199" s="1344"/>
      <c r="P199" s="1379"/>
      <c r="Q199" s="1352"/>
      <c r="R199" s="1281" t="s">
        <v>247</v>
      </c>
      <c r="S199" s="1128"/>
      <c r="Y199" s="959"/>
      <c r="Z199" s="959"/>
      <c r="AA199" s="959"/>
      <c r="AB199" s="963"/>
      <c r="AE199" s="50">
        <f>COUNT(102,$AF$115:AF175)-1</f>
        <v>61</v>
      </c>
      <c r="AF199" s="50">
        <v>1</v>
      </c>
    </row>
    <row r="200" spans="1:32" s="51" customFormat="1" ht="20.25" customHeight="1">
      <c r="A200" s="971">
        <f>IF(Расходы_4[[#This Row],[КВР]]&gt;=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))))))))))))),1,0)</f>
        <v>1</v>
      </c>
      <c r="B200" s="971">
        <f>IF(AND(Расходы_4[[#This Row],[КЦ]]="14561Э",M199="14561Т"),1,
IF(Расходы_4[[#This Row],[КЦ]]&gt;=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))))))))))))),1,0))</f>
        <v>1</v>
      </c>
      <c r="C200" s="971">
        <f>IF(Расходы_4[[#This Row],[КОСГУ]]&gt;=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))))))))))))),1,0)</f>
        <v>1</v>
      </c>
      <c r="D200" s="971">
        <f>IF(Расходы_4[[#This Row],[КВР]]&gt;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IF(SUBTOTAL(109,L187)&gt;0,SUBTOTAL(109,L187),
))))))))))))),1,0)</f>
        <v>0</v>
      </c>
      <c r="E200" s="971">
        <f>IF(AND(Расходы_4[[#This Row],[КЦ]]="14561Э",M199="14561Т"),1,
IF(Расходы_4[[#This Row],[КЦ]]&gt;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IF(SUBTOTAL(109,M187)&gt;0,SUBTOTAL(109,M187),
))))))))))))),1,0))</f>
        <v>0</v>
      </c>
      <c r="F200" s="971">
        <f>IF(Расходы_4[[#This Row],[КОСГУ]]&gt;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IF(SUBTOTAL(109,N187)&gt;0,SUBTOTAL(109,N187),
))))))))))))),1,0)</f>
        <v>1</v>
      </c>
      <c r="G200" s="971" t="e">
        <f ca="1">_xlfn.AGGREGATE(9,5,$D$139:D200)</f>
        <v>#NAME?</v>
      </c>
      <c r="H200" s="971" t="e">
        <f ca="1">_xlfn.AGGREGATE(9,5,$E$139:E200)</f>
        <v>#NAME?</v>
      </c>
      <c r="I200" s="971" t="e">
        <f ca="1">_xlfn.AGGREGATE(9,5,$F$139:F200)</f>
        <v>#NAME?</v>
      </c>
      <c r="J200" s="968" t="str">
        <f>IF(SUM(Расходы_4[[#This Row],[2 025]:[2 027]])=0,"000",".")</f>
        <v>000</v>
      </c>
      <c r="K200" s="965">
        <v>4</v>
      </c>
      <c r="L200" s="908">
        <v>244</v>
      </c>
      <c r="M200" s="908">
        <v>31562</v>
      </c>
      <c r="N200" s="908">
        <v>342</v>
      </c>
      <c r="O200" s="1341"/>
      <c r="P200" s="1375"/>
      <c r="Q200" s="1349"/>
      <c r="R200" s="1281" t="s">
        <v>248</v>
      </c>
      <c r="S200" s="1128"/>
      <c r="T200" s="913"/>
      <c r="U200" s="56"/>
      <c r="V200" s="56"/>
      <c r="W200" s="913"/>
      <c r="X200" s="913"/>
      <c r="Y200" s="959"/>
      <c r="Z200" s="959"/>
      <c r="AA200" s="959"/>
      <c r="AB200" s="963"/>
      <c r="AE200" s="50">
        <f>COUNT(102,$AF$115:AF176)-1</f>
        <v>62</v>
      </c>
      <c r="AF200" s="50">
        <v>1</v>
      </c>
    </row>
    <row r="201" spans="1:32" s="51" customFormat="1" ht="20.25" customHeight="1">
      <c r="A201" s="971">
        <f>IF(Расходы_4[[#This Row],[КВР]]&gt;=
IF(SUBTOTAL(109,L200)&gt;0,SUBTOTAL(109,L200),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))))))))))))),1,0)</f>
        <v>1</v>
      </c>
      <c r="B201" s="971">
        <f>IF(AND(Расходы_4[[#This Row],[КЦ]]="14561Э",M200="14561Т"),1,
IF(Расходы_4[[#This Row],[КЦ]]&gt;=
IF(SUBTOTAL(109,M200)&gt;0,SUBTOTAL(109,M200),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))))))))))))),1,0))</f>
        <v>1</v>
      </c>
      <c r="C201" s="971">
        <f>IF(Расходы_4[[#This Row],[КОСГУ]]&gt;=
IF(SUBTOTAL(109,N200)&gt;0,SUBTOTAL(109,N200),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))))))))))))),1,0)</f>
        <v>1</v>
      </c>
      <c r="D201" s="971">
        <f>IF(Расходы_4[[#This Row],[КВР]]&gt;
IF(SUBTOTAL(109,L200)&gt;0,SUBTOTAL(109,L200),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IF(SUBTOTAL(109,L188)&gt;0,SUBTOTAL(109,L188),
))))))))))))),1,0)</f>
        <v>0</v>
      </c>
      <c r="E201" s="971">
        <f>IF(AND(Расходы_4[[#This Row],[КЦ]]="14561Э",M200="14561Т"),1,
IF(Расходы_4[[#This Row],[КЦ]]&gt;
IF(SUBTOTAL(109,M200)&gt;0,SUBTOTAL(109,M200),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IF(SUBTOTAL(109,M188)&gt;0,SUBTOTAL(109,M188),
))))))))))))),1,0))</f>
        <v>0</v>
      </c>
      <c r="F201" s="971">
        <f>IF(Расходы_4[[#This Row],[КОСГУ]]&gt;
IF(SUBTOTAL(109,N200)&gt;0,SUBTOTAL(109,N200),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IF(SUBTOTAL(109,N188)&gt;0,SUBTOTAL(109,N188),
))))))))))))),1,0)</f>
        <v>1</v>
      </c>
      <c r="G201" s="971" t="e">
        <f ca="1">_xlfn.AGGREGATE(9,5,$D$139:D201)</f>
        <v>#NAME?</v>
      </c>
      <c r="H201" s="971" t="e">
        <f ca="1">_xlfn.AGGREGATE(9,5,$E$139:E201)</f>
        <v>#NAME?</v>
      </c>
      <c r="I201" s="971" t="e">
        <f ca="1">_xlfn.AGGREGATE(9,5,$F$139:F201)</f>
        <v>#NAME?</v>
      </c>
      <c r="J201" s="968" t="str">
        <f>IF(SUM(Расходы_4[[#This Row],[2 025]:[2 027]])=0,"000",".")</f>
        <v>000</v>
      </c>
      <c r="K201" s="965">
        <v>4</v>
      </c>
      <c r="L201" s="908">
        <v>244</v>
      </c>
      <c r="M201" s="908">
        <v>31562</v>
      </c>
      <c r="N201" s="908">
        <v>344</v>
      </c>
      <c r="O201" s="1341"/>
      <c r="P201" s="1375"/>
      <c r="Q201" s="1349"/>
      <c r="R201" s="1281" t="s">
        <v>250</v>
      </c>
      <c r="S201" s="1128"/>
      <c r="T201" s="913"/>
      <c r="U201" s="56"/>
      <c r="V201" s="56"/>
      <c r="W201" s="913"/>
      <c r="X201" s="913"/>
      <c r="Y201" s="959"/>
      <c r="Z201" s="959"/>
      <c r="AA201" s="959"/>
      <c r="AB201" s="963"/>
      <c r="AE201" s="50">
        <f>COUNT(102,$AF$115:AF177)-1</f>
        <v>63</v>
      </c>
      <c r="AF201" s="50">
        <v>1</v>
      </c>
    </row>
    <row r="202" spans="1:32" s="51" customFormat="1" ht="20.25" customHeight="1" thickBot="1">
      <c r="A202" s="971">
        <f>IF(Расходы_4[[#This Row],[КВР]]&gt;=
IF(SUBTOTAL(109,L201)&gt;0,SUBTOTAL(109,L201),
IF(SUBTOTAL(109,L200)&gt;0,SUBTOTAL(109,L200),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))))))))))))),1,0)</f>
        <v>1</v>
      </c>
      <c r="B202" s="971">
        <f>IF(AND(Расходы_4[[#This Row],[КЦ]]="14561Э",M201="14561Т"),1,
IF(Расходы_4[[#This Row],[КЦ]]&gt;=
IF(SUBTOTAL(109,M201)&gt;0,SUBTOTAL(109,M201),
IF(SUBTOTAL(109,M200)&gt;0,SUBTOTAL(109,M200),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))))))))))))),1,0))</f>
        <v>1</v>
      </c>
      <c r="C202" s="971">
        <f>IF(Расходы_4[[#This Row],[КОСГУ]]&gt;=
IF(SUBTOTAL(109,N201)&gt;0,SUBTOTAL(109,N201),
IF(SUBTOTAL(109,N200)&gt;0,SUBTOTAL(109,N200),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))))))))))))),1,0)</f>
        <v>1</v>
      </c>
      <c r="D202" s="971">
        <f>IF(Расходы_4[[#This Row],[КВР]]&gt;
IF(SUBTOTAL(109,L201)&gt;0,SUBTOTAL(109,L201),
IF(SUBTOTAL(109,L200)&gt;0,SUBTOTAL(109,L200),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IF(SUBTOTAL(109,L189)&gt;0,SUBTOTAL(109,L189),
))))))))))))),1,0)</f>
        <v>0</v>
      </c>
      <c r="E202" s="971">
        <f>IF(AND(Расходы_4[[#This Row],[КЦ]]="14561Э",M201="14561Т"),1,
IF(Расходы_4[[#This Row],[КЦ]]&gt;
IF(SUBTOTAL(109,M201)&gt;0,SUBTOTAL(109,M201),
IF(SUBTOTAL(109,M200)&gt;0,SUBTOTAL(109,M200),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IF(SUBTOTAL(109,M189)&gt;0,SUBTOTAL(109,M189),
))))))))))))),1,0))</f>
        <v>0</v>
      </c>
      <c r="F202" s="971">
        <f>IF(Расходы_4[[#This Row],[КОСГУ]]&gt;
IF(SUBTOTAL(109,N201)&gt;0,SUBTOTAL(109,N201),
IF(SUBTOTAL(109,N200)&gt;0,SUBTOTAL(109,N200),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IF(SUBTOTAL(109,N189)&gt;0,SUBTOTAL(109,N189),
))))))))))))),1,0)</f>
        <v>1</v>
      </c>
      <c r="G202" s="971" t="e">
        <f ca="1">_xlfn.AGGREGATE(9,5,$D$139:D202)</f>
        <v>#NAME?</v>
      </c>
      <c r="H202" s="971" t="e">
        <f ca="1">_xlfn.AGGREGATE(9,5,$E$139:E202)</f>
        <v>#NAME?</v>
      </c>
      <c r="I202" s="971" t="e">
        <f ca="1">_xlfn.AGGREGATE(9,5,$F$139:F202)</f>
        <v>#NAME?</v>
      </c>
      <c r="J202" s="968" t="str">
        <f>IF(SUM(Расходы_4[[#This Row],[2 025]:[2 027]])=0,"000",".")</f>
        <v>000</v>
      </c>
      <c r="K202" s="965">
        <v>4</v>
      </c>
      <c r="L202" s="908">
        <v>244</v>
      </c>
      <c r="M202" s="909">
        <v>31562</v>
      </c>
      <c r="N202" s="909">
        <v>345</v>
      </c>
      <c r="O202" s="1342"/>
      <c r="P202" s="1377"/>
      <c r="Q202" s="1350"/>
      <c r="R202" s="1281" t="s">
        <v>251</v>
      </c>
      <c r="S202" s="1128"/>
      <c r="T202" s="913"/>
      <c r="U202" s="56"/>
      <c r="V202" s="56"/>
      <c r="W202" s="913"/>
      <c r="X202" s="913"/>
      <c r="Y202" s="959"/>
      <c r="Z202" s="959"/>
      <c r="AA202" s="959"/>
      <c r="AB202" s="963"/>
      <c r="AE202" s="50">
        <f>COUNT(102,$AF$115:AF178)-1</f>
        <v>64</v>
      </c>
      <c r="AF202" s="50">
        <v>1</v>
      </c>
    </row>
    <row r="203" spans="1:32" s="51" customFormat="1" ht="20.25" customHeight="1" thickBot="1">
      <c r="A203" s="971">
        <f>IF(Расходы_4[[#This Row],[КВР]]&gt;=
IF(SUBTOTAL(109,L202)&gt;0,SUBTOTAL(109,L202),
IF(SUBTOTAL(109,L201)&gt;0,SUBTOTAL(109,L201),
IF(SUBTOTAL(109,L200)&gt;0,SUBTOTAL(109,L200),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))))))))))))),1,0)</f>
        <v>1</v>
      </c>
      <c r="B203" s="971">
        <f>IF(AND(Расходы_4[[#This Row],[КЦ]]="14561Э",M202="14561Т"),1,
IF(Расходы_4[[#This Row],[КЦ]]&gt;=
IF(SUBTOTAL(109,M202)&gt;0,SUBTOTAL(109,M202),
IF(SUBTOTAL(109,M201)&gt;0,SUBTOTAL(109,M201),
IF(SUBTOTAL(109,M200)&gt;0,SUBTOTAL(109,M200),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))))))))))))),1,0))</f>
        <v>1</v>
      </c>
      <c r="C203" s="971">
        <f>IF(Расходы_4[[#This Row],[КОСГУ]]&gt;=
IF(SUBTOTAL(109,N202)&gt;0,SUBTOTAL(109,N202),
IF(SUBTOTAL(109,N201)&gt;0,SUBTOTAL(109,N201),
IF(SUBTOTAL(109,N200)&gt;0,SUBTOTAL(109,N200),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))))))))))))),1,0)</f>
        <v>1</v>
      </c>
      <c r="D203" s="971">
        <f>IF(Расходы_4[[#This Row],[КВР]]&gt;
IF(SUBTOTAL(109,L202)&gt;0,SUBTOTAL(109,L202),
IF(SUBTOTAL(109,L201)&gt;0,SUBTOTAL(109,L201),
IF(SUBTOTAL(109,L200)&gt;0,SUBTOTAL(109,L200),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IF(SUBTOTAL(109,L190)&gt;0,SUBTOTAL(109,L190),
))))))))))))),1,0)</f>
        <v>0</v>
      </c>
      <c r="E203" s="971">
        <f>IF(AND(Расходы_4[[#This Row],[КЦ]]="14561Э",M202="14561Т"),1,
IF(Расходы_4[[#This Row],[КЦ]]&gt;
IF(SUBTOTAL(109,M202)&gt;0,SUBTOTAL(109,M202),
IF(SUBTOTAL(109,M201)&gt;0,SUBTOTAL(109,M201),
IF(SUBTOTAL(109,M200)&gt;0,SUBTOTAL(109,M200),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IF(SUBTOTAL(109,M190)&gt;0,SUBTOTAL(109,M190),
))))))))))))),1,0))</f>
        <v>0</v>
      </c>
      <c r="F203" s="971">
        <f>IF(Расходы_4[[#This Row],[КОСГУ]]&gt;
IF(SUBTOTAL(109,N202)&gt;0,SUBTOTAL(109,N202),
IF(SUBTOTAL(109,N201)&gt;0,SUBTOTAL(109,N201),
IF(SUBTOTAL(109,N200)&gt;0,SUBTOTAL(109,N200),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IF(SUBTOTAL(109,N190)&gt;0,SUBTOTAL(109,N190),
))))))))))))),1,0)</f>
        <v>1</v>
      </c>
      <c r="G203" s="971" t="e">
        <f ca="1">_xlfn.AGGREGATE(9,5,$D$139:D203)</f>
        <v>#NAME?</v>
      </c>
      <c r="H203" s="971" t="e">
        <f ca="1">_xlfn.AGGREGATE(9,5,$E$139:E203)</f>
        <v>#NAME?</v>
      </c>
      <c r="I203" s="971" t="e">
        <f ca="1">_xlfn.AGGREGATE(9,5,$F$139:F203)</f>
        <v>#NAME?</v>
      </c>
      <c r="J203" s="968" t="str">
        <f>IF(SUM(Расходы_4[[#This Row],[2 025]:[2 027]])=0,"000",".")</f>
        <v>.</v>
      </c>
      <c r="K203" s="965">
        <v>4</v>
      </c>
      <c r="L203" s="1420">
        <v>244</v>
      </c>
      <c r="M203" s="1301">
        <v>31562</v>
      </c>
      <c r="N203" s="1272">
        <v>346</v>
      </c>
      <c r="O203" s="1417">
        <f>600000+210000</f>
        <v>810000</v>
      </c>
      <c r="P203" s="1417">
        <v>600000</v>
      </c>
      <c r="Q203" s="1292">
        <v>600000</v>
      </c>
      <c r="R203" s="1281" t="s">
        <v>252</v>
      </c>
      <c r="S203" s="1128"/>
      <c r="T203" s="913"/>
      <c r="U203" s="56"/>
      <c r="V203" s="56"/>
      <c r="W203" s="913"/>
      <c r="X203" s="913"/>
      <c r="Y203" s="959"/>
      <c r="Z203" s="959"/>
      <c r="AA203" s="959"/>
      <c r="AB203" s="963"/>
      <c r="AE203" s="50">
        <f>COUNT(102,$AF$115:AF179)-1</f>
        <v>65</v>
      </c>
      <c r="AF203" s="50">
        <v>1</v>
      </c>
    </row>
    <row r="204" spans="1:32" s="51" customFormat="1" ht="20.25" customHeight="1">
      <c r="A204" s="971">
        <f>IF(Расходы_4[[#This Row],[КВР]]&gt;=
IF(SUBTOTAL(109,L203)&gt;0,SUBTOTAL(109,L203),
IF(SUBTOTAL(109,L202)&gt;0,SUBTOTAL(109,L202),
IF(SUBTOTAL(109,L201)&gt;0,SUBTOTAL(109,L201),
IF(SUBTOTAL(109,L200)&gt;0,SUBTOTAL(109,L200),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))))))))))))),1,0)</f>
        <v>1</v>
      </c>
      <c r="B204" s="971">
        <f>IF(AND(Расходы_4[[#This Row],[КЦ]]="14561Э",M203="14561Т"),1,
IF(Расходы_4[[#This Row],[КЦ]]&gt;=
IF(SUBTOTAL(109,M203)&gt;0,SUBTOTAL(109,M203),
IF(SUBTOTAL(109,M202)&gt;0,SUBTOTAL(109,M202),
IF(SUBTOTAL(109,M201)&gt;0,SUBTOTAL(109,M201),
IF(SUBTOTAL(109,M200)&gt;0,SUBTOTAL(109,M200),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))))))))))))),1,0))</f>
        <v>1</v>
      </c>
      <c r="C204" s="971">
        <f>IF(Расходы_4[[#This Row],[КОСГУ]]&gt;=
IF(SUBTOTAL(109,N203)&gt;0,SUBTOTAL(109,N203),
IF(SUBTOTAL(109,N202)&gt;0,SUBTOTAL(109,N202),
IF(SUBTOTAL(109,N201)&gt;0,SUBTOTAL(109,N201),
IF(SUBTOTAL(109,N200)&gt;0,SUBTOTAL(109,N200),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))))))))))))),1,0)</f>
        <v>1</v>
      </c>
      <c r="D204" s="971">
        <f>IF(Расходы_4[[#This Row],[КВР]]&gt;
IF(SUBTOTAL(109,L203)&gt;0,SUBTOTAL(109,L203),
IF(SUBTOTAL(109,L202)&gt;0,SUBTOTAL(109,L202),
IF(SUBTOTAL(109,L201)&gt;0,SUBTOTAL(109,L201),
IF(SUBTOTAL(109,L200)&gt;0,SUBTOTAL(109,L200),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IF(SUBTOTAL(109,L191)&gt;0,SUBTOTAL(109,L191),
))))))))))))),1,0)</f>
        <v>0</v>
      </c>
      <c r="E204" s="971">
        <f>IF(AND(Расходы_4[[#This Row],[КЦ]]="14561Э",M203="14561Т"),1,
IF(Расходы_4[[#This Row],[КЦ]]&gt;
IF(SUBTOTAL(109,M203)&gt;0,SUBTOTAL(109,M203),
IF(SUBTOTAL(109,M202)&gt;0,SUBTOTAL(109,M202),
IF(SUBTOTAL(109,M201)&gt;0,SUBTOTAL(109,M201),
IF(SUBTOTAL(109,M200)&gt;0,SUBTOTAL(109,M200),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IF(SUBTOTAL(109,M191)&gt;0,SUBTOTAL(109,M191),
))))))))))))),1,0))</f>
        <v>0</v>
      </c>
      <c r="F204" s="971">
        <f>IF(Расходы_4[[#This Row],[КОСГУ]]&gt;
IF(SUBTOTAL(109,N203)&gt;0,SUBTOTAL(109,N203),
IF(SUBTOTAL(109,N202)&gt;0,SUBTOTAL(109,N202),
IF(SUBTOTAL(109,N201)&gt;0,SUBTOTAL(109,N201),
IF(SUBTOTAL(109,N200)&gt;0,SUBTOTAL(109,N200),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IF(SUBTOTAL(109,N191)&gt;0,SUBTOTAL(109,N191),
))))))))))))),1,0)</f>
        <v>1</v>
      </c>
      <c r="G204" s="971" t="e">
        <f ca="1">_xlfn.AGGREGATE(9,5,$D$139:D204)</f>
        <v>#NAME?</v>
      </c>
      <c r="H204" s="971" t="e">
        <f ca="1">_xlfn.AGGREGATE(9,5,$E$139:E204)</f>
        <v>#NAME?</v>
      </c>
      <c r="I204" s="971" t="e">
        <f ca="1">_xlfn.AGGREGATE(9,5,$F$139:F204)</f>
        <v>#NAME?</v>
      </c>
      <c r="J204" s="968" t="str">
        <f>IF(SUM(Расходы_4[[#This Row],[2 025]:[2 027]])=0,"000",".")</f>
        <v>000</v>
      </c>
      <c r="K204" s="965">
        <v>4</v>
      </c>
      <c r="L204" s="908">
        <v>244</v>
      </c>
      <c r="M204" s="1266">
        <v>31562</v>
      </c>
      <c r="N204" s="1266">
        <v>347</v>
      </c>
      <c r="O204" s="1344"/>
      <c r="P204" s="1379"/>
      <c r="Q204" s="1352"/>
      <c r="R204" s="1281" t="s">
        <v>253</v>
      </c>
      <c r="S204" s="1128"/>
      <c r="T204" s="913"/>
      <c r="U204" s="56"/>
      <c r="V204" s="56"/>
      <c r="W204" s="913"/>
      <c r="X204" s="913"/>
      <c r="Y204" s="959"/>
      <c r="Z204" s="959"/>
      <c r="AA204" s="959"/>
      <c r="AB204" s="963"/>
      <c r="AE204" s="50">
        <f>COUNT(102,$AF$115:AF180)-1</f>
        <v>66</v>
      </c>
      <c r="AF204" s="50">
        <v>1</v>
      </c>
    </row>
    <row r="205" spans="1:32" s="51" customFormat="1" ht="20.25" customHeight="1" thickBot="1">
      <c r="A205" s="971">
        <f>IF(Расходы_4[[#This Row],[КВР]]&gt;=
IF(SUBTOTAL(109,L204)&gt;0,SUBTOTAL(109,L204),
IF(SUBTOTAL(109,L203)&gt;0,SUBTOTAL(109,L203),
IF(SUBTOTAL(109,L202)&gt;0,SUBTOTAL(109,L202),
IF(SUBTOTAL(109,L201)&gt;0,SUBTOTAL(109,L201),
IF(SUBTOTAL(109,L200)&gt;0,SUBTOTAL(109,L200),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))))))))))))),1,0)</f>
        <v>1</v>
      </c>
      <c r="B205" s="971">
        <f>IF(AND(Расходы_4[[#This Row],[КЦ]]="14561Э",M204="14561Т"),1,
IF(Расходы_4[[#This Row],[КЦ]]&gt;=
IF(SUBTOTAL(109,M204)&gt;0,SUBTOTAL(109,M204),
IF(SUBTOTAL(109,M203)&gt;0,SUBTOTAL(109,M203),
IF(SUBTOTAL(109,M202)&gt;0,SUBTOTAL(109,M202),
IF(SUBTOTAL(109,M201)&gt;0,SUBTOTAL(109,M201),
IF(SUBTOTAL(109,M200)&gt;0,SUBTOTAL(109,M200),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))))))))))))),1,0))</f>
        <v>1</v>
      </c>
      <c r="C205" s="971">
        <f>IF(Расходы_4[[#This Row],[КОСГУ]]&gt;=
IF(SUBTOTAL(109,N204)&gt;0,SUBTOTAL(109,N204),
IF(SUBTOTAL(109,N203)&gt;0,SUBTOTAL(109,N203),
IF(SUBTOTAL(109,N202)&gt;0,SUBTOTAL(109,N202),
IF(SUBTOTAL(109,N201)&gt;0,SUBTOTAL(109,N201),
IF(SUBTOTAL(109,N200)&gt;0,SUBTOTAL(109,N200),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))))))))))))),1,0)</f>
        <v>1</v>
      </c>
      <c r="D205" s="971">
        <f>IF(Расходы_4[[#This Row],[КВР]]&gt;
IF(SUBTOTAL(109,L204)&gt;0,SUBTOTAL(109,L204),
IF(SUBTOTAL(109,L203)&gt;0,SUBTOTAL(109,L203),
IF(SUBTOTAL(109,L202)&gt;0,SUBTOTAL(109,L202),
IF(SUBTOTAL(109,L201)&gt;0,SUBTOTAL(109,L201),
IF(SUBTOTAL(109,L200)&gt;0,SUBTOTAL(109,L200),
IF(SUBTOTAL(109,L199)&gt;0,SUBTOTAL(109,L199),
IF(SUBTOTAL(109,L198)&gt;0,SUBTOTAL(109,L198),
IF(SUBTOTAL(109,L197)&gt;0,SUBTOTAL(109,L197),
IF(SUBTOTAL(109,L196)&gt;0,SUBTOTAL(109,L196),
IF(SUBTOTAL(109,L195)&gt;0,SUBTOTAL(109,L195),
IF(SUBTOTAL(109,L194)&gt;0,SUBTOTAL(109,L194),
IF(SUBTOTAL(109,L193)&gt;0,SUBTOTAL(109,L193),
IF(SUBTOTAL(109,L192)&gt;0,SUBTOTAL(109,L192),
))))))))))))),1,0)</f>
        <v>0</v>
      </c>
      <c r="E205" s="971">
        <f>IF(AND(Расходы_4[[#This Row],[КЦ]]="14561Э",M204="14561Т"),1,
IF(Расходы_4[[#This Row],[КЦ]]&gt;
IF(SUBTOTAL(109,M204)&gt;0,SUBTOTAL(109,M204),
IF(SUBTOTAL(109,M203)&gt;0,SUBTOTAL(109,M203),
IF(SUBTOTAL(109,M202)&gt;0,SUBTOTAL(109,M202),
IF(SUBTOTAL(109,M201)&gt;0,SUBTOTAL(109,M201),
IF(SUBTOTAL(109,M200)&gt;0,SUBTOTAL(109,M200),
IF(SUBTOTAL(109,M199)&gt;0,SUBTOTAL(109,M199),
IF(SUBTOTAL(109,M198)&gt;0,SUBTOTAL(109,M198),
IF(SUBTOTAL(109,M197)&gt;0,SUBTOTAL(109,M197),
IF(SUBTOTAL(109,M196)&gt;0,SUBTOTAL(109,M196),
IF(SUBTOTAL(109,M195)&gt;0,SUBTOTAL(109,M195),
IF(SUBTOTAL(109,M194)&gt;0,SUBTOTAL(109,M194),
IF(SUBTOTAL(109,M193)&gt;0,SUBTOTAL(109,M193),
IF(SUBTOTAL(109,M192)&gt;0,SUBTOTAL(109,M192),
))))))))))))),1,0))</f>
        <v>0</v>
      </c>
      <c r="F205" s="971">
        <f>IF(Расходы_4[[#This Row],[КОСГУ]]&gt;
IF(SUBTOTAL(109,N204)&gt;0,SUBTOTAL(109,N204),
IF(SUBTOTAL(109,N203)&gt;0,SUBTOTAL(109,N203),
IF(SUBTOTAL(109,N202)&gt;0,SUBTOTAL(109,N202),
IF(SUBTOTAL(109,N201)&gt;0,SUBTOTAL(109,N201),
IF(SUBTOTAL(109,N200)&gt;0,SUBTOTAL(109,N200),
IF(SUBTOTAL(109,N199)&gt;0,SUBTOTAL(109,N199),
IF(SUBTOTAL(109,N198)&gt;0,SUBTOTAL(109,N198),
IF(SUBTOTAL(109,N197)&gt;0,SUBTOTAL(109,N197),
IF(SUBTOTAL(109,N196)&gt;0,SUBTOTAL(109,N196),
IF(SUBTOTAL(109,N195)&gt;0,SUBTOTAL(109,N195),
IF(SUBTOTAL(109,N194)&gt;0,SUBTOTAL(109,N194),
IF(SUBTOTAL(109,N193)&gt;0,SUBTOTAL(109,N193),
IF(SUBTOTAL(109,N192)&gt;0,SUBTOTAL(109,N192),
))))))))))))),1,0)</f>
        <v>1</v>
      </c>
      <c r="G205" s="971" t="e">
        <f ca="1">_xlfn.AGGREGATE(9,5,$D$139:D205)</f>
        <v>#NAME?</v>
      </c>
      <c r="H205" s="971" t="e">
        <f ca="1">_xlfn.AGGREGATE(9,5,$E$139:E205)</f>
        <v>#NAME?</v>
      </c>
      <c r="I205" s="971" t="e">
        <f ca="1">_xlfn.AGGREGATE(9,5,$F$139:F205)</f>
        <v>#NAME?</v>
      </c>
      <c r="J205" s="968" t="str">
        <f>IF(SUM(Расходы_4[[#This Row],[2 025]:[2 027]])=0,"000",".")</f>
        <v>000</v>
      </c>
      <c r="K205" s="965">
        <v>4</v>
      </c>
      <c r="L205" s="909">
        <v>244</v>
      </c>
      <c r="M205" s="1426">
        <v>31562</v>
      </c>
      <c r="N205" s="1426">
        <v>349</v>
      </c>
      <c r="O205" s="1342"/>
      <c r="P205" s="1341"/>
      <c r="Q205" s="1341"/>
      <c r="R205" s="1281" t="s">
        <v>254</v>
      </c>
      <c r="S205" s="1128"/>
      <c r="T205" s="913"/>
      <c r="U205" s="56"/>
      <c r="V205" s="56"/>
      <c r="W205" s="913"/>
      <c r="X205" s="913"/>
      <c r="Y205" s="959"/>
      <c r="Z205" s="959"/>
      <c r="AA205" s="959"/>
      <c r="AB205" s="963"/>
      <c r="AE205" s="50">
        <f>COUNT(102,$AF$115:AF181)-1</f>
        <v>67</v>
      </c>
      <c r="AF205" s="50">
        <v>1</v>
      </c>
    </row>
    <row r="206" spans="1:32" s="51" customFormat="1" ht="20.25" customHeight="1" thickBot="1">
      <c r="A206" s="971">
        <f>IF(Расходы_4[[#This Row],[КВР]]&gt;=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))))))))))))),1,0)</f>
        <v>1</v>
      </c>
      <c r="B206" s="971">
        <f>IF(AND(Расходы_4[[#This Row],[КЦ]]="14561Э",M192="14561Т"),1,
IF(Расходы_4[[#This Row],[КЦ]]&gt;=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))))))))))))),1,0))</f>
        <v>1</v>
      </c>
      <c r="C206" s="971">
        <f>IF(Расходы_4[[#This Row],[КОСГУ]]&gt;=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))))))))))))),1,0)</f>
        <v>0</v>
      </c>
      <c r="D206" s="971">
        <f>IF(Расходы_4[[#This Row],[КВР]]&gt;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IF(SUBTOTAL(109,L180)&gt;0,SUBTOTAL(109,L180),
))))))))))))),1,0)</f>
        <v>0</v>
      </c>
      <c r="E206" s="971">
        <f>IF(AND(Расходы_4[[#This Row],[КЦ]]="14561Э",M192="14561Т"),1,
IF(Расходы_4[[#This Row],[КЦ]]&gt;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IF(SUBTOTAL(109,M180)&gt;0,SUBTOTAL(109,M180),
))))))))))))),1,0))</f>
        <v>1</v>
      </c>
      <c r="F206" s="971">
        <f>IF(Расходы_4[[#This Row],[КОСГУ]]&gt;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IF(SUBTOTAL(109,N180)&gt;0,SUBTOTAL(109,N180),
))))))))))))),1,0)</f>
        <v>0</v>
      </c>
      <c r="G206" s="971" t="e">
        <f ca="1">_xlfn.AGGREGATE(9,5,$D$139:D206)</f>
        <v>#NAME?</v>
      </c>
      <c r="H206" s="971" t="e">
        <f ca="1">_xlfn.AGGREGATE(9,5,$E$139:E206)</f>
        <v>#NAME?</v>
      </c>
      <c r="I206" s="971" t="e">
        <f ca="1">_xlfn.AGGREGATE(9,5,$F$139:F206)</f>
        <v>#NAME?</v>
      </c>
      <c r="J206" s="968" t="str">
        <f>IF(SUM(Расходы_4[[#This Row],[2 025]:[2 027]])=0,"000",".")</f>
        <v>.</v>
      </c>
      <c r="K206" s="1335">
        <v>4</v>
      </c>
      <c r="L206" s="1301">
        <v>244</v>
      </c>
      <c r="M206" s="1272">
        <v>32561</v>
      </c>
      <c r="N206" s="1272">
        <v>226</v>
      </c>
      <c r="O206" s="1428">
        <f>235100+674999+56225.42+219536.77+3999.75-210000-1900</f>
        <v>977960.94</v>
      </c>
      <c r="P206" s="1425">
        <f t="shared" ref="P206:Q206" si="8">235100+674999</f>
        <v>910099</v>
      </c>
      <c r="Q206" s="1391">
        <f t="shared" si="8"/>
        <v>910099</v>
      </c>
      <c r="R206" s="1281" t="s">
        <v>388</v>
      </c>
      <c r="S206" s="1128"/>
      <c r="T206" s="913"/>
      <c r="U206" s="56"/>
      <c r="V206" s="56"/>
      <c r="W206" s="913"/>
      <c r="X206" s="913"/>
      <c r="Y206" s="959"/>
      <c r="Z206" s="959"/>
      <c r="AA206" s="959"/>
      <c r="AB206" s="963"/>
      <c r="AE206" s="50">
        <f>COUNT(102,$AF$115:AF182)-1</f>
        <v>68</v>
      </c>
      <c r="AF206" s="50">
        <v>1</v>
      </c>
    </row>
    <row r="207" spans="1:32" s="51" customFormat="1" ht="20.25" customHeight="1" thickBot="1">
      <c r="A207" s="971">
        <f>IF(Расходы_4[[#This Row],[КВР]]&gt;=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))))))))))))),1,0)</f>
        <v>1</v>
      </c>
      <c r="B207" s="971">
        <f>IF(AND(Расходы_4[[#This Row],[КЦ]]="14561Э",M206="14561Т"),1,
IF(Расходы_4[[#This Row],[КЦ]]&gt;=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))))))))))))),1,0))</f>
        <v>1</v>
      </c>
      <c r="C207" s="971">
        <f>IF(Расходы_4[[#This Row],[КОСГУ]]&gt;=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))))))))))))),1,0)</f>
        <v>1</v>
      </c>
      <c r="D207" s="971">
        <f>IF(Расходы_4[[#This Row],[КВР]]&gt;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IF(SUBTOTAL(109,L181)&gt;0,SUBTOTAL(109,L181),
))))))))))))),1,0)</f>
        <v>0</v>
      </c>
      <c r="E207" s="971">
        <f>IF(AND(Расходы_4[[#This Row],[КЦ]]="14561Э",M206="14561Т"),1,
IF(Расходы_4[[#This Row],[КЦ]]&gt;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IF(SUBTOTAL(109,M181)&gt;0,SUBTOTAL(109,M181),
))))))))))))),1,0))</f>
        <v>1</v>
      </c>
      <c r="F207" s="971">
        <f>IF(Расходы_4[[#This Row],[КОСГУ]]&gt;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IF(SUBTOTAL(109,N181)&gt;0,SUBTOTAL(109,N181),
))))))))))))),1,0)</f>
        <v>1</v>
      </c>
      <c r="G207" s="971" t="e">
        <f ca="1">_xlfn.AGGREGATE(9,5,$D$139:D207)</f>
        <v>#NAME?</v>
      </c>
      <c r="H207" s="971" t="e">
        <f ca="1">_xlfn.AGGREGATE(9,5,$E$139:E207)</f>
        <v>#NAME?</v>
      </c>
      <c r="I207" s="971" t="e">
        <f ca="1">_xlfn.AGGREGATE(9,5,$F$139:F207)</f>
        <v>#NAME?</v>
      </c>
      <c r="J207" s="968" t="str">
        <f>IF(SUM(Расходы_4[[#This Row],[2 025]:[2 027]])=0,"000",".")</f>
        <v>000</v>
      </c>
      <c r="K207" s="965">
        <v>4</v>
      </c>
      <c r="L207" s="1266">
        <v>244</v>
      </c>
      <c r="M207" s="1403">
        <v>33561</v>
      </c>
      <c r="N207" s="1403">
        <v>343</v>
      </c>
      <c r="O207" s="1427"/>
      <c r="P207" s="1377"/>
      <c r="Q207" s="1350"/>
      <c r="R207" s="1281" t="s">
        <v>249</v>
      </c>
      <c r="S207" s="1128"/>
      <c r="T207" s="913"/>
      <c r="U207" s="56"/>
      <c r="V207" s="56"/>
      <c r="W207" s="913"/>
      <c r="X207" s="913"/>
      <c r="Y207" s="959"/>
      <c r="Z207" s="959"/>
      <c r="AA207" s="959"/>
      <c r="AB207" s="963"/>
      <c r="AE207" s="50">
        <f>COUNT(102,$AF$115:AF183)-1</f>
        <v>69</v>
      </c>
      <c r="AF207" s="50">
        <v>1</v>
      </c>
    </row>
    <row r="208" spans="1:32" s="51" customFormat="1" ht="20.25" customHeight="1" thickBot="1">
      <c r="A208" s="971">
        <f>IF(Расходы_4[[#This Row],[КВР]]&gt;=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))))))))))))),1,0)</f>
        <v>1</v>
      </c>
      <c r="B208" s="971">
        <f>IF(AND(Расходы_4[[#This Row],[КЦ]]="14561Э",M207="14561Т"),1,
IF(Расходы_4[[#This Row],[КЦ]]&gt;=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))))))))))))),1,0))</f>
        <v>1</v>
      </c>
      <c r="C208" s="971">
        <f>IF(Расходы_4[[#This Row],[КОСГУ]]&gt;=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))))))))))))),1,0)</f>
        <v>0</v>
      </c>
      <c r="D208" s="971">
        <f>IF(Расходы_4[[#This Row],[КВР]]&gt;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IF(SUBTOTAL(109,L182)&gt;0,SUBTOTAL(109,L182),
))))))))))))),1,0)</f>
        <v>0</v>
      </c>
      <c r="E208" s="971">
        <f>IF(AND(Расходы_4[[#This Row],[КЦ]]="14561Э",M207="14561Т"),1,
IF(Расходы_4[[#This Row],[КЦ]]&gt;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IF(SUBTOTAL(109,M182)&gt;0,SUBTOTAL(109,M182),
))))))))))))),1,0))</f>
        <v>1</v>
      </c>
      <c r="F208" s="971">
        <f>IF(Расходы_4[[#This Row],[КОСГУ]]&gt;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IF(SUBTOTAL(109,N182)&gt;0,SUBTOTAL(109,N182),
))))))))))))),1,0)</f>
        <v>0</v>
      </c>
      <c r="G208" s="971" t="e">
        <f ca="1">_xlfn.AGGREGATE(9,5,$D$139:D208)</f>
        <v>#NAME?</v>
      </c>
      <c r="H208" s="971" t="e">
        <f ca="1">_xlfn.AGGREGATE(9,5,$E$139:E208)</f>
        <v>#NAME?</v>
      </c>
      <c r="I208" s="971" t="e">
        <f ca="1">_xlfn.AGGREGATE(9,5,$F$139:F208)</f>
        <v>#NAME?</v>
      </c>
      <c r="J208" s="968" t="str">
        <f>IF(SUM(Расходы_4[[#This Row],[2 025]:[2 027]])=0,"000",".")</f>
        <v>.</v>
      </c>
      <c r="K208" s="965">
        <v>4</v>
      </c>
      <c r="L208" s="1423">
        <v>244</v>
      </c>
      <c r="M208" s="1301">
        <v>34561</v>
      </c>
      <c r="N208" s="1272">
        <v>226</v>
      </c>
      <c r="O208" s="1417">
        <f>1747630+36818.4-460000+460000</f>
        <v>1784448.4</v>
      </c>
      <c r="P208" s="1417">
        <f t="shared" ref="P208:Q208" si="9">1747630</f>
        <v>1747630</v>
      </c>
      <c r="Q208" s="1417">
        <f t="shared" si="9"/>
        <v>1747630</v>
      </c>
      <c r="R208" s="1281" t="s">
        <v>788</v>
      </c>
      <c r="S208" s="1128"/>
      <c r="T208" s="913"/>
      <c r="U208" s="56"/>
      <c r="V208" s="56"/>
      <c r="W208" s="913"/>
      <c r="X208" s="913"/>
      <c r="Y208" s="959"/>
      <c r="Z208" s="959"/>
      <c r="AA208" s="959"/>
      <c r="AB208" s="963"/>
      <c r="AE208" s="50">
        <f>COUNT(102,$AF$115:AF184)-1</f>
        <v>70</v>
      </c>
      <c r="AF208" s="50">
        <v>1</v>
      </c>
    </row>
    <row r="209" spans="1:104" s="51" customFormat="1" ht="20.25" customHeight="1">
      <c r="A209" s="971">
        <f>IF(Расходы_4[[#This Row],[КВР]]&gt;=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))))))))))))),1,0)</f>
        <v>1</v>
      </c>
      <c r="B209" s="971">
        <f>IF(AND(Расходы_4[[#This Row],[КЦ]]="14561Э",M208="14561Т"),1,
IF(Расходы_4[[#This Row],[КЦ]]&gt;=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))))))))))))),1,0))</f>
        <v>1</v>
      </c>
      <c r="C209" s="971">
        <f>IF(Расходы_4[[#This Row],[КОСГУ]]&gt;=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))))))))))))),1,0)</f>
        <v>1</v>
      </c>
      <c r="D209" s="971">
        <f>IF(Расходы_4[[#This Row],[КВР]]&gt;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IF(SUBTOTAL(109,L184)&gt;0,SUBTOTAL(109,L184),
IF(SUBTOTAL(109,L183)&gt;0,SUBTOTAL(109,L183),
))))))))))))),1,0)</f>
        <v>0</v>
      </c>
      <c r="E209" s="971">
        <f>IF(AND(Расходы_4[[#This Row],[КЦ]]="14561Э",M208="14561Т"),1,
IF(Расходы_4[[#This Row],[КЦ]]&gt;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IF(SUBTOTAL(109,M184)&gt;0,SUBTOTAL(109,M184),
IF(SUBTOTAL(109,M183)&gt;0,SUBTOTAL(109,M183),
))))))))))))),1,0))</f>
        <v>1</v>
      </c>
      <c r="F209" s="971">
        <f>IF(Расходы_4[[#This Row],[КОСГУ]]&gt;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IF(SUBTOTAL(109,N184)&gt;0,SUBTOTAL(109,N184),
IF(SUBTOTAL(109,N183)&gt;0,SUBTOTAL(109,N183),
))))))))))))),1,0)</f>
        <v>0</v>
      </c>
      <c r="G209" s="971" t="e">
        <f ca="1">_xlfn.AGGREGATE(9,5,$D$139:D209)</f>
        <v>#NAME?</v>
      </c>
      <c r="H209" s="971" t="e">
        <f ca="1">_xlfn.AGGREGATE(9,5,$E$139:E209)</f>
        <v>#NAME?</v>
      </c>
      <c r="I209" s="971" t="e">
        <f ca="1">_xlfn.AGGREGATE(9,5,$F$139:F209)</f>
        <v>#NAME?</v>
      </c>
      <c r="J209" s="968" t="str">
        <f>IF(SUM(Расходы_4[[#This Row],[2 025]:[2 027]])=0,"000",".")</f>
        <v>.</v>
      </c>
      <c r="K209" s="965">
        <v>4</v>
      </c>
      <c r="L209" s="1279">
        <v>244</v>
      </c>
      <c r="M209" s="1424">
        <v>34562</v>
      </c>
      <c r="N209" s="1424">
        <v>226</v>
      </c>
      <c r="O209" s="1344">
        <f>69600+5800</f>
        <v>75400</v>
      </c>
      <c r="P209" s="1344">
        <v>69600</v>
      </c>
      <c r="Q209" s="1344">
        <v>69600</v>
      </c>
      <c r="R209" s="1281" t="s">
        <v>789</v>
      </c>
      <c r="S209" s="1128"/>
      <c r="T209" s="913"/>
      <c r="U209" s="56"/>
      <c r="V209" s="56"/>
      <c r="W209" s="913"/>
      <c r="X209" s="913"/>
      <c r="Y209" s="959"/>
      <c r="Z209" s="959"/>
      <c r="AA209" s="959"/>
      <c r="AB209" s="963"/>
      <c r="AE209" s="50">
        <f>COUNT(102,$AF$115:AF185)-1</f>
        <v>71</v>
      </c>
      <c r="AF209" s="50">
        <v>1</v>
      </c>
    </row>
    <row r="210" spans="1:104" s="51" customFormat="1" ht="20.25" customHeight="1">
      <c r="A210" s="971">
        <f>IF(Расходы_4[[#This Row],[КВР]]&gt;=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IF(SUBTOTAL(109,L183)&gt;0,SUBTOTAL(109,L183),
))))))))))))),1,0)</f>
        <v>1</v>
      </c>
      <c r="B210" s="971">
        <f>IF(AND(Расходы_4[[#This Row],[КЦ]]="14561Э",M209="14561Т"),1,
IF(Расходы_4[[#This Row],[КЦ]]&gt;=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IF(SUBTOTAL(109,M183)&gt;0,SUBTOTAL(109,M183),
))))))))))))),1,0))</f>
        <v>1</v>
      </c>
      <c r="C210" s="971">
        <f>IF(Расходы_4[[#This Row],[КОСГУ]]&gt;=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IF(SUBTOTAL(109,N183)&gt;0,SUBTOTAL(109,N183),
))))))))))))),1,0)</f>
        <v>0</v>
      </c>
      <c r="D210" s="971">
        <f>IF(Расходы_4[[#This Row],[КВР]]&gt;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IF(SUBTOTAL(109,L183)&gt;0,SUBTOTAL(109,L183),
))))))))))))),1,0)</f>
        <v>0</v>
      </c>
      <c r="E210" s="971">
        <f>IF(AND(Расходы_4[[#This Row],[КЦ]]="14561Э",M209="14561Т"),1,
IF(Расходы_4[[#This Row],[КЦ]]&gt;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IF(SUBTOTAL(109,M183)&gt;0,SUBTOTAL(109,M183),
))))))))))))),1,0))</f>
        <v>1</v>
      </c>
      <c r="F210" s="971">
        <f>IF(Расходы_4[[#This Row],[КОСГУ]]&gt;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IF(SUBTOTAL(109,N183)&gt;0,SUBTOTAL(109,N183),
))))))))))))),1,0)</f>
        <v>0</v>
      </c>
      <c r="G210" s="971" t="e">
        <f ca="1">_xlfn.AGGREGATE(9,5,$D$139:D210)</f>
        <v>#NAME?</v>
      </c>
      <c r="H210" s="971" t="e">
        <f ca="1">_xlfn.AGGREGATE(9,5,$E$139:E210)</f>
        <v>#NAME?</v>
      </c>
      <c r="I210" s="971" t="e">
        <f ca="1">_xlfn.AGGREGATE(9,5,$F$139:F210)</f>
        <v>#NAME?</v>
      </c>
      <c r="J210" s="968" t="str">
        <f>IF(SUM(Расходы_4[[#This Row],[2 025]:[2 027]])=0,"000",".")</f>
        <v>.</v>
      </c>
      <c r="K210" s="965">
        <v>4</v>
      </c>
      <c r="L210" s="908">
        <v>244</v>
      </c>
      <c r="M210" s="1279">
        <v>34563</v>
      </c>
      <c r="N210" s="1279">
        <v>225</v>
      </c>
      <c r="O210" s="1341">
        <f>36000+13830.28</f>
        <v>49830.28</v>
      </c>
      <c r="P210" s="1341">
        <v>36000</v>
      </c>
      <c r="Q210" s="1341">
        <v>36000</v>
      </c>
      <c r="R210" s="1281" t="s">
        <v>790</v>
      </c>
      <c r="S210" s="1128"/>
      <c r="T210" s="913"/>
      <c r="U210" s="56"/>
      <c r="V210" s="56"/>
      <c r="W210" s="913"/>
      <c r="X210" s="913"/>
      <c r="Y210" s="959"/>
      <c r="Z210" s="959"/>
      <c r="AA210" s="959"/>
      <c r="AB210" s="963"/>
      <c r="AE210" s="50">
        <f>COUNT(102,$AF$115:AF186)-1</f>
        <v>72</v>
      </c>
      <c r="AF210" s="50">
        <v>1</v>
      </c>
    </row>
    <row r="211" spans="1:104" s="51" customFormat="1" ht="20.25" customHeight="1">
      <c r="A211" s="971">
        <f>IF(Расходы_4[[#This Row],[КВР]]&gt;=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))))))))))))),1,0)</f>
        <v>1</v>
      </c>
      <c r="B211" s="971">
        <f>IF(AND(Расходы_4[[#This Row],[КЦ]]="14561Э",M210="14561Т"),1,
IF(Расходы_4[[#This Row],[КЦ]]&gt;=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))))))))))))),1,0))</f>
        <v>1</v>
      </c>
      <c r="C211" s="971">
        <f>IF(Расходы_4[[#This Row],[КОСГУ]]&gt;=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))))))))))))),1,0)</f>
        <v>1</v>
      </c>
      <c r="D211" s="971">
        <f>IF(Расходы_4[[#This Row],[КВР]]&gt;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IF(SUBTOTAL(109,L185)&gt;0,SUBTOTAL(109,L185),
))))))))))))),1,0)</f>
        <v>0</v>
      </c>
      <c r="E211" s="971">
        <f>IF(AND(Расходы_4[[#This Row],[КЦ]]="14561Э",M210="14561Т"),1,
IF(Расходы_4[[#This Row],[КЦ]]&gt;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IF(SUBTOTAL(109,M185)&gt;0,SUBTOTAL(109,M185),
))))))))))))),1,0))</f>
        <v>1</v>
      </c>
      <c r="F211" s="971">
        <f>IF(Расходы_4[[#This Row],[КОСГУ]]&gt;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IF(SUBTOTAL(109,N185)&gt;0,SUBTOTAL(109,N185),
))))))))))))),1,0)</f>
        <v>0</v>
      </c>
      <c r="G211" s="971" t="e">
        <f ca="1">_xlfn.AGGREGATE(9,5,$D$139:D211)</f>
        <v>#NAME?</v>
      </c>
      <c r="H211" s="971" t="e">
        <f ca="1">_xlfn.AGGREGATE(9,5,$E$139:E211)</f>
        <v>#NAME?</v>
      </c>
      <c r="I211" s="971" t="e">
        <f ca="1">_xlfn.AGGREGATE(9,5,$F$139:F211)</f>
        <v>#NAME?</v>
      </c>
      <c r="J211" s="968" t="str">
        <f>IF(SUM(Расходы_4[[#This Row],[2 025]:[2 027]])=0,"000",".")</f>
        <v>.</v>
      </c>
      <c r="K211" s="965">
        <v>4</v>
      </c>
      <c r="L211" s="908">
        <v>244</v>
      </c>
      <c r="M211" s="1279">
        <v>34564</v>
      </c>
      <c r="N211" s="1279">
        <v>225</v>
      </c>
      <c r="O211" s="1341">
        <f>122410+5099</f>
        <v>127509</v>
      </c>
      <c r="P211" s="1341">
        <v>122410</v>
      </c>
      <c r="Q211" s="1341">
        <v>122410</v>
      </c>
      <c r="R211" s="1281" t="s">
        <v>791</v>
      </c>
      <c r="S211" s="1128"/>
      <c r="T211" s="913"/>
      <c r="U211" s="56"/>
      <c r="V211" s="56"/>
      <c r="W211" s="913"/>
      <c r="X211" s="913"/>
      <c r="Y211" s="959"/>
      <c r="Z211" s="959"/>
      <c r="AA211" s="959"/>
      <c r="AB211" s="963"/>
      <c r="AE211" s="50">
        <f>COUNT(102,$AF$115:AF187)-1</f>
        <v>73</v>
      </c>
      <c r="AF211" s="50">
        <v>1</v>
      </c>
    </row>
    <row r="212" spans="1:104" s="51" customFormat="1" ht="20.25" customHeight="1">
      <c r="A212" s="971">
        <f>IF(Расходы_4[[#This Row],[КВР]]&gt;=
IF(SUBTOTAL(109,L211)&gt;0,SUBTOTAL(109,L211),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))))))))))))),1,0)</f>
        <v>1</v>
      </c>
      <c r="B212" s="971">
        <f>IF(AND(Расходы_4[[#This Row],[КЦ]]="14561Э",M211="14561Т"),1,
IF(Расходы_4[[#This Row],[КЦ]]&gt;=
IF(SUBTOTAL(109,M211)&gt;0,SUBTOTAL(109,M211),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))))))))))))),1,0))</f>
        <v>1</v>
      </c>
      <c r="C212" s="971">
        <f>IF(Расходы_4[[#This Row],[КОСГУ]]&gt;=
IF(SUBTOTAL(109,N211)&gt;0,SUBTOTAL(109,N211),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))))))))))))),1,0)</f>
        <v>1</v>
      </c>
      <c r="D212" s="971">
        <f>IF(Расходы_4[[#This Row],[КВР]]&gt;
IF(SUBTOTAL(109,L211)&gt;0,SUBTOTAL(109,L211),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IF(SUBTOTAL(109,L186)&gt;0,SUBTOTAL(109,L186),
))))))))))))),1,0)</f>
        <v>0</v>
      </c>
      <c r="E212" s="971">
        <f>IF(AND(Расходы_4[[#This Row],[КЦ]]="14561Э",M211="14561Т"),1,
IF(Расходы_4[[#This Row],[КЦ]]&gt;
IF(SUBTOTAL(109,M211)&gt;0,SUBTOTAL(109,M211),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IF(SUBTOTAL(109,M186)&gt;0,SUBTOTAL(109,M186),
))))))))))))),1,0))</f>
        <v>1</v>
      </c>
      <c r="F212" s="971">
        <f>IF(Расходы_4[[#This Row],[КОСГУ]]&gt;
IF(SUBTOTAL(109,N211)&gt;0,SUBTOTAL(109,N211),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IF(SUBTOTAL(109,N186)&gt;0,SUBTOTAL(109,N186),
))))))))))))),1,0)</f>
        <v>0</v>
      </c>
      <c r="G212" s="971" t="e">
        <f ca="1">_xlfn.AGGREGATE(9,5,$D$139:D212)</f>
        <v>#NAME?</v>
      </c>
      <c r="H212" s="971" t="e">
        <f ca="1">_xlfn.AGGREGATE(9,5,$E$139:E212)</f>
        <v>#NAME?</v>
      </c>
      <c r="I212" s="971" t="e">
        <f ca="1">_xlfn.AGGREGATE(9,5,$F$139:F212)</f>
        <v>#NAME?</v>
      </c>
      <c r="J212" s="968" t="str">
        <f>IF(SUM(Расходы_4[[#This Row],[2 025]:[2 027]])=0,"000",".")</f>
        <v>.</v>
      </c>
      <c r="K212" s="965">
        <v>4</v>
      </c>
      <c r="L212" s="908">
        <v>244</v>
      </c>
      <c r="M212" s="1279">
        <v>34565</v>
      </c>
      <c r="N212" s="1279">
        <v>225</v>
      </c>
      <c r="O212" s="1341">
        <v>162960</v>
      </c>
      <c r="P212" s="1341">
        <v>162960</v>
      </c>
      <c r="Q212" s="1341">
        <v>162960</v>
      </c>
      <c r="R212" s="1281" t="s">
        <v>792</v>
      </c>
      <c r="S212" s="1128"/>
      <c r="T212" s="913"/>
      <c r="U212" s="56"/>
      <c r="V212" s="56"/>
      <c r="W212" s="913"/>
      <c r="X212" s="913"/>
      <c r="Y212" s="959"/>
      <c r="Z212" s="959"/>
      <c r="AA212" s="959"/>
      <c r="AB212" s="963"/>
      <c r="AE212" s="50">
        <f>COUNT(102,$AF$115:AF188)-1</f>
        <v>74</v>
      </c>
      <c r="AF212" s="50">
        <v>1</v>
      </c>
    </row>
    <row r="213" spans="1:104" s="51" customFormat="1" ht="20.25" customHeight="1">
      <c r="A213" s="971">
        <f>IF(Расходы_4[[#This Row],[КВР]]&gt;=
IF(SUBTOTAL(109,L212)&gt;0,SUBTOTAL(109,L212),
IF(SUBTOTAL(109,L211)&gt;0,SUBTOTAL(109,L211),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))))))))))))),1,0)</f>
        <v>1</v>
      </c>
      <c r="B213" s="971">
        <f>IF(AND(Расходы_4[[#This Row],[КЦ]]="14561Э",M212="14561Т"),1,
IF(Расходы_4[[#This Row],[КЦ]]&gt;=
IF(SUBTOTAL(109,M212)&gt;0,SUBTOTAL(109,M212),
IF(SUBTOTAL(109,M211)&gt;0,SUBTOTAL(109,M211),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))))))))))))),1,0))</f>
        <v>1</v>
      </c>
      <c r="C213" s="971">
        <f>IF(Расходы_4[[#This Row],[КОСГУ]]&gt;=
IF(SUBTOTAL(109,N212)&gt;0,SUBTOTAL(109,N212),
IF(SUBTOTAL(109,N211)&gt;0,SUBTOTAL(109,N211),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))))))))))))),1,0)</f>
        <v>1</v>
      </c>
      <c r="D213" s="971">
        <f>IF(Расходы_4[[#This Row],[КВР]]&gt;
IF(SUBTOTAL(109,L212)&gt;0,SUBTOTAL(109,L212),
IF(SUBTOTAL(109,L211)&gt;0,SUBTOTAL(109,L211),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IF(SUBTOTAL(109,L187)&gt;0,SUBTOTAL(109,L187),
))))))))))))),1,0)</f>
        <v>0</v>
      </c>
      <c r="E213" s="971">
        <f>IF(AND(Расходы_4[[#This Row],[КЦ]]="14561Э",M212="14561Т"),1,
IF(Расходы_4[[#This Row],[КЦ]]&gt;
IF(SUBTOTAL(109,M212)&gt;0,SUBTOTAL(109,M212),
IF(SUBTOTAL(109,M211)&gt;0,SUBTOTAL(109,M211),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IF(SUBTOTAL(109,M187)&gt;0,SUBTOTAL(109,M187),
))))))))))))),1,0))</f>
        <v>1</v>
      </c>
      <c r="F213" s="971">
        <f>IF(Расходы_4[[#This Row],[КОСГУ]]&gt;
IF(SUBTOTAL(109,N212)&gt;0,SUBTOTAL(109,N212),
IF(SUBTOTAL(109,N211)&gt;0,SUBTOTAL(109,N211),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IF(SUBTOTAL(109,N187)&gt;0,SUBTOTAL(109,N187),
))))))))))))),1,0)</f>
        <v>0</v>
      </c>
      <c r="G213" s="971" t="e">
        <f ca="1">_xlfn.AGGREGATE(9,5,$D$139:D213)</f>
        <v>#NAME?</v>
      </c>
      <c r="H213" s="971" t="e">
        <f ca="1">_xlfn.AGGREGATE(9,5,$E$139:E213)</f>
        <v>#NAME?</v>
      </c>
      <c r="I213" s="971" t="e">
        <f ca="1">_xlfn.AGGREGATE(9,5,$F$139:F213)</f>
        <v>#NAME?</v>
      </c>
      <c r="J213" s="968" t="str">
        <f>IF(SUM(Расходы_4[[#This Row],[2 025]:[2 027]])=0,"000",".")</f>
        <v>.</v>
      </c>
      <c r="K213" s="965">
        <v>4</v>
      </c>
      <c r="L213" s="908">
        <v>244</v>
      </c>
      <c r="M213" s="1279">
        <v>34566</v>
      </c>
      <c r="N213" s="1279">
        <v>225</v>
      </c>
      <c r="O213" s="1341">
        <v>20300</v>
      </c>
      <c r="P213" s="1341">
        <v>20300</v>
      </c>
      <c r="Q213" s="1341">
        <v>20300</v>
      </c>
      <c r="R213" s="1281" t="s">
        <v>795</v>
      </c>
      <c r="S213" s="1128"/>
      <c r="T213" s="913"/>
      <c r="U213" s="56"/>
      <c r="V213" s="56"/>
      <c r="W213" s="913"/>
      <c r="X213" s="913"/>
      <c r="Y213" s="959"/>
      <c r="Z213" s="959"/>
      <c r="AA213" s="959"/>
      <c r="AB213" s="963"/>
      <c r="AE213" s="50">
        <f>COUNT(102,$AF$115:AF189)-1</f>
        <v>75</v>
      </c>
      <c r="AF213" s="50">
        <v>1</v>
      </c>
    </row>
    <row r="214" spans="1:104" s="51" customFormat="1" ht="20.25" customHeight="1">
      <c r="A214" s="971">
        <f>IF(Расходы_4[[#This Row],[КВР]]&gt;=
IF(SUBTOTAL(109,L213)&gt;0,SUBTOTAL(109,L213),
IF(SUBTOTAL(109,L212)&gt;0,SUBTOTAL(109,L212),
IF(SUBTOTAL(109,L211)&gt;0,SUBTOTAL(109,L211),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))))))))))))),1,0)</f>
        <v>1</v>
      </c>
      <c r="B214" s="971">
        <f>IF(AND(Расходы_4[[#This Row],[КЦ]]="14561Э",M213="14561Т"),1,
IF(Расходы_4[[#This Row],[КЦ]]&gt;=
IF(SUBTOTAL(109,M213)&gt;0,SUBTOTAL(109,M213),
IF(SUBTOTAL(109,M212)&gt;0,SUBTOTAL(109,M212),
IF(SUBTOTAL(109,M211)&gt;0,SUBTOTAL(109,M211),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))))))))))))),1,0))</f>
        <v>1</v>
      </c>
      <c r="C214" s="971">
        <f>IF(Расходы_4[[#This Row],[КОСГУ]]&gt;=
IF(SUBTOTAL(109,N213)&gt;0,SUBTOTAL(109,N213),
IF(SUBTOTAL(109,N212)&gt;0,SUBTOTAL(109,N212),
IF(SUBTOTAL(109,N211)&gt;0,SUBTOTAL(109,N211),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))))))))))))),1,0)</f>
        <v>1</v>
      </c>
      <c r="D214" s="971">
        <f>IF(Расходы_4[[#This Row],[КВР]]&gt;
IF(SUBTOTAL(109,L213)&gt;0,SUBTOTAL(109,L213),
IF(SUBTOTAL(109,L212)&gt;0,SUBTOTAL(109,L212),
IF(SUBTOTAL(109,L211)&gt;0,SUBTOTAL(109,L211),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IF(SUBTOTAL(109,L188)&gt;0,SUBTOTAL(109,L188),
))))))))))))),1,0)</f>
        <v>0</v>
      </c>
      <c r="E214" s="971">
        <f>IF(AND(Расходы_4[[#This Row],[КЦ]]="14561Э",M213="14561Т"),1,
IF(Расходы_4[[#This Row],[КЦ]]&gt;
IF(SUBTOTAL(109,M213)&gt;0,SUBTOTAL(109,M213),
IF(SUBTOTAL(109,M212)&gt;0,SUBTOTAL(109,M212),
IF(SUBTOTAL(109,M211)&gt;0,SUBTOTAL(109,M211),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IF(SUBTOTAL(109,M188)&gt;0,SUBTOTAL(109,M188),
))))))))))))),1,0))</f>
        <v>1</v>
      </c>
      <c r="F214" s="971">
        <f>IF(Расходы_4[[#This Row],[КОСГУ]]&gt;
IF(SUBTOTAL(109,N213)&gt;0,SUBTOTAL(109,N213),
IF(SUBTOTAL(109,N212)&gt;0,SUBTOTAL(109,N212),
IF(SUBTOTAL(109,N211)&gt;0,SUBTOTAL(109,N211),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IF(SUBTOTAL(109,N188)&gt;0,SUBTOTAL(109,N188),
))))))))))))),1,0)</f>
        <v>0</v>
      </c>
      <c r="G214" s="971" t="e">
        <f ca="1">_xlfn.AGGREGATE(9,5,$D$139:D214)</f>
        <v>#NAME?</v>
      </c>
      <c r="H214" s="971" t="e">
        <f ca="1">_xlfn.AGGREGATE(9,5,$E$139:E214)</f>
        <v>#NAME?</v>
      </c>
      <c r="I214" s="971" t="e">
        <f ca="1">_xlfn.AGGREGATE(9,5,$F$139:F214)</f>
        <v>#NAME?</v>
      </c>
      <c r="J214" s="968" t="str">
        <f>IF(SUM(Расходы_4[[#This Row],[2 025]:[2 027]])=0,"000",".")</f>
        <v>.</v>
      </c>
      <c r="K214" s="965">
        <v>4</v>
      </c>
      <c r="L214" s="908">
        <v>244</v>
      </c>
      <c r="M214" s="1279">
        <v>34567</v>
      </c>
      <c r="N214" s="1279">
        <v>225</v>
      </c>
      <c r="O214" s="1356">
        <v>234000</v>
      </c>
      <c r="P214" s="1356">
        <v>234000</v>
      </c>
      <c r="Q214" s="1356">
        <v>234000</v>
      </c>
      <c r="R214" s="1281" t="s">
        <v>793</v>
      </c>
      <c r="S214" s="1128"/>
      <c r="T214" s="913"/>
      <c r="U214" s="56"/>
      <c r="V214" s="56"/>
      <c r="W214" s="913"/>
      <c r="X214" s="913"/>
      <c r="Y214" s="959"/>
      <c r="Z214" s="959"/>
      <c r="AA214" s="959"/>
      <c r="AB214" s="963"/>
      <c r="AE214" s="50">
        <f>COUNT(102,$AF$115:AF190)-1</f>
        <v>76</v>
      </c>
      <c r="AF214" s="50">
        <v>1</v>
      </c>
    </row>
    <row r="215" spans="1:104" s="51" customFormat="1" ht="20.25" customHeight="1">
      <c r="A215" s="971">
        <f>IF(Расходы_4[[#This Row],[КВР]]&gt;=
IF(SUBTOTAL(109,L214)&gt;0,SUBTOTAL(109,L214),
IF(SUBTOTAL(109,L213)&gt;0,SUBTOTAL(109,L213),
IF(SUBTOTAL(109,L212)&gt;0,SUBTOTAL(109,L212),
IF(SUBTOTAL(109,L211)&gt;0,SUBTOTAL(109,L211),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))))))))))))),1,0)</f>
        <v>1</v>
      </c>
      <c r="B215" s="971">
        <f>IF(AND(Расходы_4[[#This Row],[КЦ]]="14561Э",M214="14561Т"),1,
IF(Расходы_4[[#This Row],[КЦ]]&gt;=
IF(SUBTOTAL(109,M214)&gt;0,SUBTOTAL(109,M214),
IF(SUBTOTAL(109,M213)&gt;0,SUBTOTAL(109,M213),
IF(SUBTOTAL(109,M212)&gt;0,SUBTOTAL(109,M212),
IF(SUBTOTAL(109,M211)&gt;0,SUBTOTAL(109,M211),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))))))))))))),1,0))</f>
        <v>1</v>
      </c>
      <c r="C215" s="971">
        <f>IF(Расходы_4[[#This Row],[КОСГУ]]&gt;=
IF(SUBTOTAL(109,N214)&gt;0,SUBTOTAL(109,N214),
IF(SUBTOTAL(109,N213)&gt;0,SUBTOTAL(109,N213),
IF(SUBTOTAL(109,N212)&gt;0,SUBTOTAL(109,N212),
IF(SUBTOTAL(109,N211)&gt;0,SUBTOTAL(109,N211),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))))))))))))),1,0)</f>
        <v>1</v>
      </c>
      <c r="D215" s="971">
        <f>IF(Расходы_4[[#This Row],[КВР]]&gt;
IF(SUBTOTAL(109,L214)&gt;0,SUBTOTAL(109,L214),
IF(SUBTOTAL(109,L213)&gt;0,SUBTOTAL(109,L213),
IF(SUBTOTAL(109,L212)&gt;0,SUBTOTAL(109,L212),
IF(SUBTOTAL(109,L211)&gt;0,SUBTOTAL(109,L211),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IF(SUBTOTAL(109,L189)&gt;0,SUBTOTAL(109,L189),
))))))))))))),1,0)</f>
        <v>0</v>
      </c>
      <c r="E215" s="971">
        <f>IF(AND(Расходы_4[[#This Row],[КЦ]]="14561Э",M214="14561Т"),1,
IF(Расходы_4[[#This Row],[КЦ]]&gt;
IF(SUBTOTAL(109,M214)&gt;0,SUBTOTAL(109,M214),
IF(SUBTOTAL(109,M213)&gt;0,SUBTOTAL(109,M213),
IF(SUBTOTAL(109,M212)&gt;0,SUBTOTAL(109,M212),
IF(SUBTOTAL(109,M211)&gt;0,SUBTOTAL(109,M211),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IF(SUBTOTAL(109,M189)&gt;0,SUBTOTAL(109,M189),
))))))))))))),1,0))</f>
        <v>1</v>
      </c>
      <c r="F215" s="971">
        <f>IF(Расходы_4[[#This Row],[КОСГУ]]&gt;
IF(SUBTOTAL(109,N214)&gt;0,SUBTOTAL(109,N214),
IF(SUBTOTAL(109,N213)&gt;0,SUBTOTAL(109,N213),
IF(SUBTOTAL(109,N212)&gt;0,SUBTOTAL(109,N212),
IF(SUBTOTAL(109,N211)&gt;0,SUBTOTAL(109,N211),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IF(SUBTOTAL(109,N189)&gt;0,SUBTOTAL(109,N189),
))))))))))))),1,0)</f>
        <v>0</v>
      </c>
      <c r="G215" s="971" t="e">
        <f ca="1">_xlfn.AGGREGATE(9,5,$D$139:D215)</f>
        <v>#NAME?</v>
      </c>
      <c r="H215" s="971" t="e">
        <f ca="1">_xlfn.AGGREGATE(9,5,$E$139:E215)</f>
        <v>#NAME?</v>
      </c>
      <c r="I215" s="971" t="e">
        <f ca="1">_xlfn.AGGREGATE(9,5,$F$139:F215)</f>
        <v>#NAME?</v>
      </c>
      <c r="J215" s="968" t="str">
        <f>IF(SUM(Расходы_4[[#This Row],[2 025]:[2 027]])=0,"000",".")</f>
        <v>.</v>
      </c>
      <c r="K215" s="965">
        <v>4</v>
      </c>
      <c r="L215" s="908">
        <v>244</v>
      </c>
      <c r="M215" s="1279">
        <v>35561</v>
      </c>
      <c r="N215" s="1279">
        <v>225</v>
      </c>
      <c r="O215" s="1391">
        <f>134550+102598</f>
        <v>237148</v>
      </c>
      <c r="P215" s="1391">
        <v>134550</v>
      </c>
      <c r="Q215" s="1391">
        <v>134550</v>
      </c>
      <c r="R215" s="1281" t="s">
        <v>595</v>
      </c>
      <c r="S215" s="1128"/>
      <c r="T215" s="913"/>
      <c r="U215" s="56"/>
      <c r="V215" s="56"/>
      <c r="W215" s="913"/>
      <c r="X215" s="913"/>
      <c r="Y215" s="959"/>
      <c r="Z215" s="959"/>
      <c r="AA215" s="959"/>
      <c r="AB215" s="963"/>
      <c r="AE215" s="50">
        <f>COUNT(102,$AF$115:AF191)-1</f>
        <v>77</v>
      </c>
      <c r="AF215" s="50">
        <v>1</v>
      </c>
    </row>
    <row r="216" spans="1:104" s="51" customFormat="1" ht="20.25" customHeight="1">
      <c r="A216" s="971">
        <f>IF(Расходы_4[[#This Row],[КВР]]&gt;=
IF(SUBTOTAL(109,L215)&gt;0,SUBTOTAL(109,L215),
IF(SUBTOTAL(109,L214)&gt;0,SUBTOTAL(109,L214),
IF(SUBTOTAL(109,L213)&gt;0,SUBTOTAL(109,L213),
IF(SUBTOTAL(109,L212)&gt;0,SUBTOTAL(109,L212),
IF(SUBTOTAL(109,L211)&gt;0,SUBTOTAL(109,L211),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))))))))))))),1,0)</f>
        <v>1</v>
      </c>
      <c r="B216" s="971">
        <f>IF(AND(Расходы_4[[#This Row],[КЦ]]="14561Э",M215="14561Т"),1,
IF(Расходы_4[[#This Row],[КЦ]]&gt;=
IF(SUBTOTAL(109,M215)&gt;0,SUBTOTAL(109,M215),
IF(SUBTOTAL(109,M214)&gt;0,SUBTOTAL(109,M214),
IF(SUBTOTAL(109,M213)&gt;0,SUBTOTAL(109,M213),
IF(SUBTOTAL(109,M212)&gt;0,SUBTOTAL(109,M212),
IF(SUBTOTAL(109,M211)&gt;0,SUBTOTAL(109,M211),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))))))))))))),1,0))</f>
        <v>1</v>
      </c>
      <c r="C216" s="971">
        <f>IF(Расходы_4[[#This Row],[КОСГУ]]&gt;=
IF(SUBTOTAL(109,N215)&gt;0,SUBTOTAL(109,N215),
IF(SUBTOTAL(109,N214)&gt;0,SUBTOTAL(109,N214),
IF(SUBTOTAL(109,N213)&gt;0,SUBTOTAL(109,N213),
IF(SUBTOTAL(109,N212)&gt;0,SUBTOTAL(109,N212),
IF(SUBTOTAL(109,N211)&gt;0,SUBTOTAL(109,N211),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))))))))))))),1,0)</f>
        <v>1</v>
      </c>
      <c r="D216" s="971">
        <f>IF(Расходы_4[[#This Row],[КВР]]&gt;
IF(SUBTOTAL(109,L215)&gt;0,SUBTOTAL(109,L215),
IF(SUBTOTAL(109,L214)&gt;0,SUBTOTAL(109,L214),
IF(SUBTOTAL(109,L213)&gt;0,SUBTOTAL(109,L213),
IF(SUBTOTAL(109,L212)&gt;0,SUBTOTAL(109,L212),
IF(SUBTOTAL(109,L211)&gt;0,SUBTOTAL(109,L211),
IF(SUBTOTAL(109,L210)&gt;0,SUBTOTAL(109,L210),
IF(SUBTOTAL(109,L209)&gt;0,SUBTOTAL(109,L209),
IF(SUBTOTAL(109,L208)&gt;0,SUBTOTAL(109,L208),
IF(SUBTOTAL(109,L207)&gt;0,SUBTOTAL(109,L207),
IF(SUBTOTAL(109,L206)&gt;0,SUBTOTAL(109,L206),
IF(SUBTOTAL(109,L192)&gt;0,SUBTOTAL(109,L192),
IF(SUBTOTAL(109,L191)&gt;0,SUBTOTAL(109,L191),
IF(SUBTOTAL(109,L190)&gt;0,SUBTOTAL(109,L190),
))))))))))))),1,0)</f>
        <v>0</v>
      </c>
      <c r="E216" s="971">
        <f>IF(AND(Расходы_4[[#This Row],[КЦ]]="14561Э",M215="14561Т"),1,
IF(Расходы_4[[#This Row],[КЦ]]&gt;
IF(SUBTOTAL(109,M215)&gt;0,SUBTOTAL(109,M215),
IF(SUBTOTAL(109,M214)&gt;0,SUBTOTAL(109,M214),
IF(SUBTOTAL(109,M213)&gt;0,SUBTOTAL(109,M213),
IF(SUBTOTAL(109,M212)&gt;0,SUBTOTAL(109,M212),
IF(SUBTOTAL(109,M211)&gt;0,SUBTOTAL(109,M211),
IF(SUBTOTAL(109,M210)&gt;0,SUBTOTAL(109,M210),
IF(SUBTOTAL(109,M209)&gt;0,SUBTOTAL(109,M209),
IF(SUBTOTAL(109,M208)&gt;0,SUBTOTAL(109,M208),
IF(SUBTOTAL(109,M207)&gt;0,SUBTOTAL(109,M207),
IF(SUBTOTAL(109,M206)&gt;0,SUBTOTAL(109,M206),
IF(SUBTOTAL(109,M192)&gt;0,SUBTOTAL(109,M192),
IF(SUBTOTAL(109,M191)&gt;0,SUBTOTAL(109,M191),
IF(SUBTOTAL(109,M190)&gt;0,SUBTOTAL(109,M190),
))))))))))))),1,0))</f>
        <v>1</v>
      </c>
      <c r="F216" s="971">
        <f>IF(Расходы_4[[#This Row],[КОСГУ]]&gt;
IF(SUBTOTAL(109,N215)&gt;0,SUBTOTAL(109,N215),
IF(SUBTOTAL(109,N214)&gt;0,SUBTOTAL(109,N214),
IF(SUBTOTAL(109,N213)&gt;0,SUBTOTAL(109,N213),
IF(SUBTOTAL(109,N212)&gt;0,SUBTOTAL(109,N212),
IF(SUBTOTAL(109,N211)&gt;0,SUBTOTAL(109,N211),
IF(SUBTOTAL(109,N210)&gt;0,SUBTOTAL(109,N210),
IF(SUBTOTAL(109,N209)&gt;0,SUBTOTAL(109,N209),
IF(SUBTOTAL(109,N208)&gt;0,SUBTOTAL(109,N208),
IF(SUBTOTAL(109,N207)&gt;0,SUBTOTAL(109,N207),
IF(SUBTOTAL(109,N206)&gt;0,SUBTOTAL(109,N206),
IF(SUBTOTAL(109,N192)&gt;0,SUBTOTAL(109,N192),
IF(SUBTOTAL(109,N191)&gt;0,SUBTOTAL(109,N191),
IF(SUBTOTAL(109,N190)&gt;0,SUBTOTAL(109,N190),
))))))))))))),1,0)</f>
        <v>1</v>
      </c>
      <c r="G216" s="971" t="e">
        <f ca="1">_xlfn.AGGREGATE(9,5,$D$139:D216)</f>
        <v>#NAME?</v>
      </c>
      <c r="H216" s="971" t="e">
        <f ca="1">_xlfn.AGGREGATE(9,5,$E$139:E216)</f>
        <v>#NAME?</v>
      </c>
      <c r="I216" s="971" t="e">
        <f ca="1">_xlfn.AGGREGATE(9,5,$F$139:F216)</f>
        <v>#NAME?</v>
      </c>
      <c r="J216" s="968" t="str">
        <f>IF(SUM(Расходы_4[[#This Row],[2 025]:[2 027]])=0,"000",".")</f>
        <v>000</v>
      </c>
      <c r="K216" s="965">
        <v>4</v>
      </c>
      <c r="L216" s="908">
        <v>244</v>
      </c>
      <c r="M216" s="908">
        <v>36561</v>
      </c>
      <c r="N216" s="908">
        <v>226</v>
      </c>
      <c r="O216" s="1341"/>
      <c r="P216" s="1375"/>
      <c r="Q216" s="1349"/>
      <c r="R216" s="1281" t="s">
        <v>596</v>
      </c>
      <c r="S216" s="1128"/>
      <c r="T216" s="913"/>
      <c r="U216" s="56"/>
      <c r="V216" s="56"/>
      <c r="W216" s="913"/>
      <c r="X216" s="913"/>
      <c r="Y216" s="959"/>
      <c r="Z216" s="959"/>
      <c r="AA216" s="959"/>
      <c r="AB216" s="963"/>
      <c r="AE216" s="50">
        <f>COUNT(102,$AF$115:AF192)-1</f>
        <v>78</v>
      </c>
      <c r="AF216" s="50">
        <v>1</v>
      </c>
    </row>
    <row r="217" spans="1:104" s="51" customFormat="1" ht="20.25" customHeight="1">
      <c r="A217" s="971">
        <f>IF(Расходы_4[[#This Row],[КВР]]&gt;=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IF(SUBTOTAL(109,L207)&gt;0,SUBTOTAL(109,L207),
IF(SUBTOTAL(109,L206)&gt;0,SUBTOTAL(109,L206),
IF(SUBTOTAL(109,L192)&gt;0,SUBTOTAL(109,L192),
IF(SUBTOTAL(109,L191)&gt;0,SUBTOTAL(109,L191),
IF(SUBTOTAL(109,L190)&gt;0,SUBTOTAL(109,L190),
))))))))))))),1,0)</f>
        <v>1</v>
      </c>
      <c r="B217" s="971">
        <f>IF(AND(Расходы_4[[#This Row],[КЦ]]="14561Э",M216="14561Т"),1,
IF(Расходы_4[[#This Row],[КЦ]]&gt;=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IF(SUBTOTAL(109,M207)&gt;0,SUBTOTAL(109,M207),
IF(SUBTOTAL(109,M206)&gt;0,SUBTOTAL(109,M206),
IF(SUBTOTAL(109,M192)&gt;0,SUBTOTAL(109,M192),
IF(SUBTOTAL(109,M191)&gt;0,SUBTOTAL(109,M191),
IF(SUBTOTAL(109,M190)&gt;0,SUBTOTAL(109,M190),
))))))))))))),1,0))</f>
        <v>1</v>
      </c>
      <c r="C217" s="971">
        <f>IF(Расходы_4[[#This Row],[КОСГУ]]&gt;=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IF(SUBTOTAL(109,N207)&gt;0,SUBTOTAL(109,N207),
IF(SUBTOTAL(109,N206)&gt;0,SUBTOTAL(109,N206),
IF(SUBTOTAL(109,N192)&gt;0,SUBTOTAL(109,N192),
IF(SUBTOTAL(109,N191)&gt;0,SUBTOTAL(109,N191),
IF(SUBTOTAL(109,N190)&gt;0,SUBTOTAL(109,N190),
))))))))))))),1,0)</f>
        <v>0</v>
      </c>
      <c r="D217" s="971">
        <f>IF(Расходы_4[[#This Row],[КВР]]&gt;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IF(SUBTOTAL(109,L207)&gt;0,SUBTOTAL(109,L207),
IF(SUBTOTAL(109,L206)&gt;0,SUBTOTAL(109,L206),
IF(SUBTOTAL(109,L192)&gt;0,SUBTOTAL(109,L192),
IF(SUBTOTAL(109,L191)&gt;0,SUBTOTAL(109,L191),
IF(SUBTOTAL(109,L190)&gt;0,SUBTOTAL(109,L190),
))))))))))))),1,0)</f>
        <v>0</v>
      </c>
      <c r="E217" s="971">
        <f>IF(AND(Расходы_4[[#This Row],[КЦ]]="14561Э",M216="14561Т"),1,
IF(Расходы_4[[#This Row],[КЦ]]&gt;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IF(SUBTOTAL(109,M207)&gt;0,SUBTOTAL(109,M207),
IF(SUBTOTAL(109,M206)&gt;0,SUBTOTAL(109,M206),
IF(SUBTOTAL(109,M192)&gt;0,SUBTOTAL(109,M192),
IF(SUBTOTAL(109,M191)&gt;0,SUBTOTAL(109,M191),
IF(SUBTOTAL(109,M190)&gt;0,SUBTOTAL(109,M190),
))))))))))))),1,0))</f>
        <v>1</v>
      </c>
      <c r="F217" s="971">
        <f>IF(Расходы_4[[#This Row],[КОСГУ]]&gt;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IF(SUBTOTAL(109,N207)&gt;0,SUBTOTAL(109,N207),
IF(SUBTOTAL(109,N206)&gt;0,SUBTOTAL(109,N206),
IF(SUBTOTAL(109,N192)&gt;0,SUBTOTAL(109,N192),
IF(SUBTOTAL(109,N191)&gt;0,SUBTOTAL(109,N191),
IF(SUBTOTAL(109,N190)&gt;0,SUBTOTAL(109,N190),
))))))))))))),1,0)</f>
        <v>0</v>
      </c>
      <c r="G217" s="971" t="e">
        <f ca="1">_xlfn.AGGREGATE(9,5,$D$139:D217)</f>
        <v>#NAME?</v>
      </c>
      <c r="H217" s="971" t="e">
        <f ca="1">_xlfn.AGGREGATE(9,5,$E$139:E217)</f>
        <v>#NAME?</v>
      </c>
      <c r="I217" s="971" t="e">
        <f ca="1">_xlfn.AGGREGATE(9,5,$F$139:F217)</f>
        <v>#NAME?</v>
      </c>
      <c r="J217" s="968" t="str">
        <f>IF(SUM(Расходы_4[[#This Row],[2 025]:[2 027]])=0,"000",".")</f>
        <v>000</v>
      </c>
      <c r="K217" s="965">
        <v>4</v>
      </c>
      <c r="L217" s="908">
        <v>244</v>
      </c>
      <c r="M217" s="908">
        <v>37561</v>
      </c>
      <c r="N217" s="908">
        <v>224</v>
      </c>
      <c r="O217" s="1341"/>
      <c r="P217" s="1375"/>
      <c r="Q217" s="1349"/>
      <c r="R217" s="1281" t="s">
        <v>794</v>
      </c>
      <c r="S217" s="1128"/>
      <c r="T217" s="913"/>
      <c r="U217" s="56"/>
      <c r="V217" s="56"/>
      <c r="W217" s="913"/>
      <c r="X217" s="913"/>
      <c r="Y217" s="959"/>
      <c r="Z217" s="959"/>
      <c r="AA217" s="959"/>
      <c r="AB217" s="963"/>
      <c r="AE217" s="50">
        <f>COUNT(102,$AF$115:AF193)-1</f>
        <v>79</v>
      </c>
      <c r="AF217" s="50">
        <v>1</v>
      </c>
    </row>
    <row r="218" spans="1:104" s="54" customFormat="1" ht="20.25" customHeight="1" thickBot="1">
      <c r="A218" s="971">
        <f>IF(Расходы_4[[#This Row],[КВР]]&gt;=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IF(SUBTOTAL(109,L208)&gt;0,SUBTOTAL(109,L208),
IF(SUBTOTAL(109,L207)&gt;0,SUBTOTAL(109,L207),
IF(SUBTOTAL(109,L206)&gt;0,SUBTOTAL(109,L206),
IF(SUBTOTAL(109,L192)&gt;0,SUBTOTAL(109,L192),
))))))))))))),1,0)</f>
        <v>1</v>
      </c>
      <c r="B218" s="971">
        <f>IF(AND(Расходы_4[[#This Row],[КЦ]]="14561Э",M217="14561Т"),1,
IF(Расходы_4[[#This Row],[КЦ]]&gt;=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IF(SUBTOTAL(109,M208)&gt;0,SUBTOTAL(109,M208),
IF(SUBTOTAL(109,M207)&gt;0,SUBTOTAL(109,M207),
IF(SUBTOTAL(109,M206)&gt;0,SUBTOTAL(109,M206),
IF(SUBTOTAL(109,M192)&gt;0,SUBTOTAL(109,M192),
))))))))))))),1,0))</f>
        <v>1</v>
      </c>
      <c r="C218" s="971">
        <f>IF(Расходы_4[[#This Row],[КОСГУ]]&gt;=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IF(SUBTOTAL(109,N208)&gt;0,SUBTOTAL(109,N208),
IF(SUBTOTAL(109,N207)&gt;0,SUBTOTAL(109,N207),
IF(SUBTOTAL(109,N206)&gt;0,SUBTOTAL(109,N206),
IF(SUBTOTAL(109,N192)&gt;0,SUBTOTAL(109,N192),
))))))))))))),1,0)</f>
        <v>1</v>
      </c>
      <c r="D218" s="971">
        <f>IF(Расходы_4[[#This Row],[КВР]]&gt;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IF(SUBTOTAL(109,L208)&gt;0,SUBTOTAL(109,L208),
IF(SUBTOTAL(109,L207)&gt;0,SUBTOTAL(109,L207),
IF(SUBTOTAL(109,L206)&gt;0,SUBTOTAL(109,L206),
IF(SUBTOTAL(109,L192)&gt;0,SUBTOTAL(109,L192),
))))))))))))),1,0)</f>
        <v>0</v>
      </c>
      <c r="E218" s="971">
        <f>IF(AND(Расходы_4[[#This Row],[КЦ]]="14561Э",M217="14561Т"),1,
IF(Расходы_4[[#This Row],[КЦ]]&gt;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IF(SUBTOTAL(109,M208)&gt;0,SUBTOTAL(109,M208),
IF(SUBTOTAL(109,M207)&gt;0,SUBTOTAL(109,M207),
IF(SUBTOTAL(109,M206)&gt;0,SUBTOTAL(109,M206),
IF(SUBTOTAL(109,M192)&gt;0,SUBTOTAL(109,M192),
))))))))))))),1,0))</f>
        <v>0</v>
      </c>
      <c r="F218" s="971">
        <f>IF(Расходы_4[[#This Row],[КОСГУ]]&gt;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IF(SUBTOTAL(109,N208)&gt;0,SUBTOTAL(109,N208),
IF(SUBTOTAL(109,N207)&gt;0,SUBTOTAL(109,N207),
IF(SUBTOTAL(109,N206)&gt;0,SUBTOTAL(109,N206),
IF(SUBTOTAL(109,N192)&gt;0,SUBTOTAL(109,N192),
))))))))))))),1,0)</f>
        <v>1</v>
      </c>
      <c r="G218" s="971" t="e">
        <f ca="1">_xlfn.AGGREGATE(9,5,$D$139:D218)</f>
        <v>#NAME?</v>
      </c>
      <c r="H218" s="971" t="e">
        <f ca="1">_xlfn.AGGREGATE(9,5,$E$139:E218)</f>
        <v>#NAME?</v>
      </c>
      <c r="I218" s="971" t="e">
        <f ca="1">_xlfn.AGGREGATE(9,5,$F$139:F218)</f>
        <v>#NAME?</v>
      </c>
      <c r="J218" s="968" t="str">
        <f>IF(SUM(Расходы_4[[#This Row],[2 025]:[2 027]])=0,"000",".")</f>
        <v>000</v>
      </c>
      <c r="K218" s="965">
        <v>4</v>
      </c>
      <c r="L218" s="908">
        <v>244</v>
      </c>
      <c r="M218" s="908">
        <v>37561</v>
      </c>
      <c r="N218" s="908">
        <v>225</v>
      </c>
      <c r="O218" s="1341"/>
      <c r="P218" s="1375"/>
      <c r="Q218" s="1349"/>
      <c r="R218" s="1281" t="s">
        <v>853</v>
      </c>
      <c r="S218" s="1128"/>
      <c r="T218" s="913"/>
      <c r="U218" s="56"/>
      <c r="V218" s="56"/>
      <c r="W218" s="913"/>
      <c r="X218" s="913"/>
      <c r="Y218" s="959"/>
      <c r="Z218" s="959"/>
      <c r="AA218" s="959"/>
      <c r="AB218" s="963"/>
      <c r="AC218" s="51"/>
      <c r="AD218" s="51"/>
      <c r="AE218" s="50">
        <f>COUNT(102,$AF$115:AF194)-1</f>
        <v>80</v>
      </c>
      <c r="AF218" s="50">
        <v>1</v>
      </c>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row>
    <row r="219" spans="1:104" s="51" customFormat="1" ht="20.25" customHeight="1">
      <c r="A219" s="971">
        <f>IF(Расходы_4[[#This Row],[КВР]]&gt;=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IF(SUBTOTAL(109,L208)&gt;0,SUBTOTAL(109,L208),
IF(SUBTOTAL(109,L207)&gt;0,SUBTOTAL(109,L207),
IF(SUBTOTAL(109,L206)&gt;0,SUBTOTAL(109,L206),
))))))))))))),1,0)</f>
        <v>1</v>
      </c>
      <c r="B219" s="971">
        <f>IF(AND(Расходы_4[[#This Row],[КЦ]]="14561Э",M218="14561Т"),1,
IF(Расходы_4[[#This Row],[КЦ]]&gt;=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IF(SUBTOTAL(109,M208)&gt;0,SUBTOTAL(109,M208),
IF(SUBTOTAL(109,M207)&gt;0,SUBTOTAL(109,M207),
IF(SUBTOTAL(109,M206)&gt;0,SUBTOTAL(109,M206),
))))))))))))),1,0))</f>
        <v>1</v>
      </c>
      <c r="C219" s="971">
        <f>IF(Расходы_4[[#This Row],[КОСГУ]]&gt;=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IF(SUBTOTAL(109,N208)&gt;0,SUBTOTAL(109,N208),
IF(SUBTOTAL(109,N207)&gt;0,SUBTOTAL(109,N207),
IF(SUBTOTAL(109,N206)&gt;0,SUBTOTAL(109,N206),
))))))))))))),1,0)</f>
        <v>1</v>
      </c>
      <c r="D219" s="971">
        <f>IF(Расходы_4[[#This Row],[КВР]]&gt;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IF(SUBTOTAL(109,L208)&gt;0,SUBTOTAL(109,L208),
IF(SUBTOTAL(109,L207)&gt;0,SUBTOTAL(109,L207),
IF(SUBTOTAL(109,L206)&gt;0,SUBTOTAL(109,L206),
))))))))))))),1,0)</f>
        <v>0</v>
      </c>
      <c r="E219" s="971">
        <f>IF(AND(Расходы_4[[#This Row],[КЦ]]="14561Э",M218="14561Т"),1,
IF(Расходы_4[[#This Row],[КЦ]]&gt;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IF(SUBTOTAL(109,M208)&gt;0,SUBTOTAL(109,M208),
IF(SUBTOTAL(109,M207)&gt;0,SUBTOTAL(109,M207),
IF(SUBTOTAL(109,M206)&gt;0,SUBTOTAL(109,M206),
))))))))))))),1,0))</f>
        <v>1</v>
      </c>
      <c r="F219" s="971">
        <f>IF(Расходы_4[[#This Row],[КОСГУ]]&gt;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IF(SUBTOTAL(109,N208)&gt;0,SUBTOTAL(109,N208),
IF(SUBTOTAL(109,N207)&gt;0,SUBTOTAL(109,N207),
IF(SUBTOTAL(109,N206)&gt;0,SUBTOTAL(109,N206),
))))))))))))),1,0)</f>
        <v>1</v>
      </c>
      <c r="G219" s="971" t="e">
        <f ca="1">_xlfn.AGGREGATE(9,5,$D$139:D219)</f>
        <v>#NAME?</v>
      </c>
      <c r="H219" s="971" t="e">
        <f ca="1">_xlfn.AGGREGATE(9,5,$E$139:E219)</f>
        <v>#NAME?</v>
      </c>
      <c r="I219" s="971" t="e">
        <f ca="1">_xlfn.AGGREGATE(9,5,$F$139:F219)</f>
        <v>#NAME?</v>
      </c>
      <c r="J219" s="968" t="str">
        <f>IF(SUM(Расходы_4[[#This Row],[2 025]:[2 027]])=0,"000",".")</f>
        <v>000</v>
      </c>
      <c r="K219" s="965">
        <v>4</v>
      </c>
      <c r="L219" s="908">
        <v>244</v>
      </c>
      <c r="M219" s="908">
        <v>66562</v>
      </c>
      <c r="N219" s="908">
        <v>226</v>
      </c>
      <c r="O219" s="1341"/>
      <c r="P219" s="1375"/>
      <c r="Q219" s="1349"/>
      <c r="R219" s="1281"/>
      <c r="S219" s="1128"/>
      <c r="T219" s="913"/>
      <c r="U219" s="913"/>
      <c r="V219" s="1231"/>
      <c r="W219" s="913"/>
      <c r="X219" s="913"/>
      <c r="Y219" s="959"/>
      <c r="Z219" s="959"/>
      <c r="AA219" s="959"/>
      <c r="AB219" s="963"/>
      <c r="AE219" s="50">
        <f>COUNT(102,$AF$115:AF195)-1</f>
        <v>81</v>
      </c>
      <c r="AF219" s="50">
        <v>1</v>
      </c>
    </row>
    <row r="220" spans="1:104" s="51" customFormat="1" ht="20.25" customHeight="1">
      <c r="A220" s="1194">
        <f>IF(Расходы_4[[#This Row],[КВР]]&gt;=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IF(SUBTOTAL(109,L208)&gt;0,SUBTOTAL(109,L208),
IF(SUBTOTAL(109,L207)&gt;0,SUBTOTAL(109,L207),
))))))))))))),1,0)</f>
        <v>1</v>
      </c>
      <c r="B220" s="1194">
        <f>IF(AND(Расходы_4[[#This Row],[КЦ]]="14561Э",M219="14561Т"),1,
IF(Расходы_4[[#This Row],[КЦ]]&gt;=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IF(SUBTOTAL(109,M208)&gt;0,SUBTOTAL(109,M208),
IF(SUBTOTAL(109,M207)&gt;0,SUBTOTAL(109,M207),
))))))))))))),1,0))</f>
        <v>1</v>
      </c>
      <c r="C220" s="1194">
        <f>IF(Расходы_4[[#This Row],[КОСГУ]]&gt;=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IF(SUBTOTAL(109,N208)&gt;0,SUBTOTAL(109,N208),
IF(SUBTOTAL(109,N207)&gt;0,SUBTOTAL(109,N207),
))))))))))))),1,0)</f>
        <v>0</v>
      </c>
      <c r="D220" s="1194">
        <f>IF(Расходы_4[[#This Row],[КВР]]&gt;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IF(SUBTOTAL(109,L208)&gt;0,SUBTOTAL(109,L208),
IF(SUBTOTAL(109,L207)&gt;0,SUBTOTAL(109,L207),
))))))))))))),1,0)</f>
        <v>0</v>
      </c>
      <c r="E220" s="1194">
        <f>IF(AND(Расходы_4[[#This Row],[КЦ]]="14561Э",M219="14561Т"),1,
IF(Расходы_4[[#This Row],[КЦ]]&gt;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IF(SUBTOTAL(109,M208)&gt;0,SUBTOTAL(109,M208),
IF(SUBTOTAL(109,M207)&gt;0,SUBTOTAL(109,M207),
))))))))))))),1,0))</f>
        <v>1</v>
      </c>
      <c r="F220" s="1194">
        <f>IF(Расходы_4[[#This Row],[КОСГУ]]&gt;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IF(SUBTOTAL(109,N208)&gt;0,SUBTOTAL(109,N208),
IF(SUBTOTAL(109,N207)&gt;0,SUBTOTAL(109,N207),
))))))))))))),1,0)</f>
        <v>0</v>
      </c>
      <c r="G220" s="1194" t="e">
        <f ca="1">_xlfn.AGGREGATE(9,5,$D$139:D220)</f>
        <v>#NAME?</v>
      </c>
      <c r="H220" s="1194" t="e">
        <f ca="1">_xlfn.AGGREGATE(9,5,$E$139:E220)</f>
        <v>#NAME?</v>
      </c>
      <c r="I220" s="1194" t="e">
        <f ca="1">_xlfn.AGGREGATE(9,5,$F$139:F220)</f>
        <v>#NAME?</v>
      </c>
      <c r="J220" s="1195" t="str">
        <f>IF(SUM(Расходы_4[[#This Row],[2 025]:[2 027]])=0,"000",".")</f>
        <v>000</v>
      </c>
      <c r="K220" s="1196">
        <v>4</v>
      </c>
      <c r="L220" s="1197">
        <v>244</v>
      </c>
      <c r="M220" s="1197" t="s">
        <v>784</v>
      </c>
      <c r="N220" s="1197">
        <v>224</v>
      </c>
      <c r="O220" s="1346"/>
      <c r="P220" s="1380"/>
      <c r="Q220" s="1353"/>
      <c r="R220" s="1384" t="s">
        <v>1025</v>
      </c>
      <c r="S220" s="1128"/>
      <c r="T220" s="913"/>
      <c r="U220" s="913"/>
      <c r="V220" s="913"/>
      <c r="W220" s="913"/>
      <c r="X220" s="913"/>
      <c r="Y220" s="959"/>
      <c r="Z220" s="959"/>
      <c r="AA220" s="959"/>
      <c r="AB220" s="963"/>
      <c r="AE220" s="50">
        <f>COUNT(102,$AF$115:AF196)-1</f>
        <v>82</v>
      </c>
      <c r="AF220" s="50">
        <v>1</v>
      </c>
    </row>
    <row r="221" spans="1:104" s="51" customFormat="1" ht="20.25" customHeight="1">
      <c r="A221" s="1194">
        <f>IF(Расходы_4[[#This Row],[КВР]]&gt;=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IF(SUBTOTAL(109,L208)&gt;0,SUBTOTAL(109,L208),
))))))))))))),1,0)</f>
        <v>1</v>
      </c>
      <c r="B221" s="1194">
        <f>IF(AND(Расходы_4[[#This Row],[КЦ]]="14561Э",M220="14561Т"),1,
IF(Расходы_4[[#This Row],[КЦ]]&gt;=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IF(SUBTOTAL(109,M208)&gt;0,SUBTOTAL(109,M208),
))))))))))))),1,0))</f>
        <v>1</v>
      </c>
      <c r="C221" s="1194">
        <f>IF(Расходы_4[[#This Row],[КОСГУ]]&gt;=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IF(SUBTOTAL(109,N208)&gt;0,SUBTOTAL(109,N208),
))))))))))))),1,0)</f>
        <v>1</v>
      </c>
      <c r="D221" s="1194">
        <f>IF(Расходы_4[[#This Row],[КВР]]&gt;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IF(SUBTOTAL(109,L208)&gt;0,SUBTOTAL(109,L208),
))))))))))))),1,0)</f>
        <v>0</v>
      </c>
      <c r="E221" s="1194">
        <f>IF(AND(Расходы_4[[#This Row],[КЦ]]="14561Э",M220="14561Т"),1,
IF(Расходы_4[[#This Row],[КЦ]]&gt;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IF(SUBTOTAL(109,M208)&gt;0,SUBTOTAL(109,M208),
))))))))))))),1,0))</f>
        <v>1</v>
      </c>
      <c r="F221" s="1194">
        <f>IF(Расходы_4[[#This Row],[КОСГУ]]&gt;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IF(SUBTOTAL(109,N208)&gt;0,SUBTOTAL(109,N208),
))))))))))))),1,0)</f>
        <v>0</v>
      </c>
      <c r="G221" s="1194" t="e">
        <f ca="1">_xlfn.AGGREGATE(9,5,$D$139:D221)</f>
        <v>#NAME?</v>
      </c>
      <c r="H221" s="1194" t="e">
        <f ca="1">_xlfn.AGGREGATE(9,5,$E$139:E221)</f>
        <v>#NAME?</v>
      </c>
      <c r="I221" s="1194" t="e">
        <f ca="1">_xlfn.AGGREGATE(9,5,$F$139:F221)</f>
        <v>#NAME?</v>
      </c>
      <c r="J221" s="1195" t="str">
        <f>IF(SUM(Расходы_4[[#This Row],[2 025]:[2 027]])=0,"000",".")</f>
        <v>000</v>
      </c>
      <c r="K221" s="1196">
        <v>4</v>
      </c>
      <c r="L221" s="1197">
        <v>244</v>
      </c>
      <c r="M221" s="1197" t="s">
        <v>785</v>
      </c>
      <c r="N221" s="1197">
        <v>224</v>
      </c>
      <c r="O221" s="1346"/>
      <c r="P221" s="1380"/>
      <c r="Q221" s="1353"/>
      <c r="R221" s="1384" t="s">
        <v>1026</v>
      </c>
      <c r="S221" s="1128"/>
      <c r="Y221" s="959"/>
      <c r="Z221" s="959"/>
      <c r="AA221" s="960"/>
      <c r="AE221" s="50">
        <f>COUNT(102,$AF$115:AF197)-1</f>
        <v>83</v>
      </c>
      <c r="AF221" s="50">
        <v>1</v>
      </c>
    </row>
    <row r="222" spans="1:104" s="51" customFormat="1" ht="20.25" customHeight="1" thickBot="1">
      <c r="A222" s="971">
        <f>IF(Расходы_4[[#This Row],[КВР]]&gt;=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))))))))))))),1,0)</f>
        <v>1</v>
      </c>
      <c r="B222" s="971">
        <f>IF(AND(Расходы_4[[#This Row],[КЦ]]="14561Э",M221="14561Т"),1,
IF(Расходы_4[[#This Row],[КЦ]]&gt;=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))))))))))))),1,0))</f>
        <v>0</v>
      </c>
      <c r="C222" s="971">
        <f>IF(Расходы_4[[#This Row],[КОСГУ]]&gt;=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))))))))))))),1,0)</f>
        <v>1</v>
      </c>
      <c r="D222" s="971">
        <f>IF(Расходы_4[[#This Row],[КВР]]&gt;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))))))))))))),1,0)</f>
        <v>1</v>
      </c>
      <c r="E222" s="971">
        <f>IF(AND(Расходы_4[[#This Row],[КЦ]]="14561Э",M221="14561Т"),1,
IF(Расходы_4[[#This Row],[КЦ]]&gt;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))))))))))))),1,0))</f>
        <v>0</v>
      </c>
      <c r="F222" s="971">
        <f>IF(Расходы_4[[#This Row],[КОСГУ]]&gt;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))))))))))))),1,0)</f>
        <v>1</v>
      </c>
      <c r="G222" s="971" t="e">
        <f ca="1">_xlfn.AGGREGATE(9,5,$D$139:D222)</f>
        <v>#NAME?</v>
      </c>
      <c r="H222" s="971" t="e">
        <f ca="1">_xlfn.AGGREGATE(9,5,$E$139:E222)</f>
        <v>#NAME?</v>
      </c>
      <c r="I222" s="971" t="e">
        <f ca="1">_xlfn.AGGREGATE(9,5,$F$139:F222)</f>
        <v>#NAME?</v>
      </c>
      <c r="J222" s="953" t="str">
        <f>IF(SUM(Расходы_4[[#This Row],[2 025]:[2 027]])=0,"000",".")</f>
        <v>000</v>
      </c>
      <c r="K222" s="969">
        <v>4</v>
      </c>
      <c r="L222" s="909">
        <v>245</v>
      </c>
      <c r="M222" s="909">
        <v>16561</v>
      </c>
      <c r="N222" s="909">
        <v>226</v>
      </c>
      <c r="O222" s="1342"/>
      <c r="P222" s="1377"/>
      <c r="Q222" s="1350"/>
      <c r="R222" s="1281"/>
      <c r="S222" s="1128"/>
      <c r="Y222" s="959"/>
      <c r="Z222" s="959"/>
      <c r="AA222" s="960"/>
      <c r="AE222" s="50">
        <f>COUNT(102,$AF$115:AF198)-1</f>
        <v>84</v>
      </c>
      <c r="AF222" s="50">
        <v>1</v>
      </c>
    </row>
    <row r="223" spans="1:104" s="51" customFormat="1" ht="20.25" customHeight="1">
      <c r="A223" s="971">
        <f>IF(Расходы_4[[#This Row],[КВР]]&gt;=
IF(SUBTOTAL(109,L222)&gt;0,SUBTOTAL(109,L222),
IF(SUBTOTAL(109,L221)&gt;0,SUBTOTAL(109,L221),
IF(SUBTOTAL(109,L220)&gt;0,SUBTOTAL(109,L220),
IF(SUBTOTAL(109,L219)&gt;0,SUBTOTAL(109,L219),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))))))))))))),1,0)</f>
        <v>1</v>
      </c>
      <c r="B223" s="971">
        <f>IF(AND(Расходы_4[[#This Row],[КЦ]]="14561Э",M222="14561Т"),1,
IF(Расходы_4[[#This Row],[КЦ]]&gt;=
IF(SUBTOTAL(109,M222)&gt;0,SUBTOTAL(109,M222),
IF(SUBTOTAL(109,M221)&gt;0,SUBTOTAL(109,M221),
IF(SUBTOTAL(109,M220)&gt;0,SUBTOTAL(109,M220),
IF(SUBTOTAL(109,M219)&gt;0,SUBTOTAL(109,M219),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))))))))))))),1,0))</f>
        <v>1</v>
      </c>
      <c r="C223" s="971">
        <f>IF(Расходы_4[[#This Row],[КОСГУ]]&gt;=
IF(SUBTOTAL(109,N222)&gt;0,SUBTOTAL(109,N222),
IF(SUBTOTAL(109,N221)&gt;0,SUBTOTAL(109,N221),
IF(SUBTOTAL(109,N220)&gt;0,SUBTOTAL(109,N220),
IF(SUBTOTAL(109,N219)&gt;0,SUBTOTAL(109,N219),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))))))))))))),1,0)</f>
        <v>0</v>
      </c>
      <c r="D223" s="971">
        <f>IF(Расходы_4[[#This Row],[КВР]]&gt;
IF(SUBTOTAL(109,L222)&gt;0,SUBTOTAL(109,L222),
IF(SUBTOTAL(109,L221)&gt;0,SUBTOTAL(109,L221),
IF(SUBTOTAL(109,L220)&gt;0,SUBTOTAL(109,L220),
IF(SUBTOTAL(109,L219)&gt;0,SUBTOTAL(109,L219),
IF(SUBTOTAL(109,L217)&gt;0,SUBTOTAL(109,L217),
IF(SUBTOTAL(109,L216)&gt;0,SUBTOTAL(109,L216),
IF(SUBTOTAL(109,L215)&gt;0,SUBTOTAL(109,L215),
IF(SUBTOTAL(109,L214)&gt;0,SUBTOTAL(109,L214),
IF(SUBTOTAL(109,L213)&gt;0,SUBTOTAL(109,L213),
IF(SUBTOTAL(109,L212)&gt;0,SUBTOTAL(109,L212),
IF(SUBTOTAL(109,L211)&gt;0,SUBTOTAL(109,L211),
IF(SUBTOTAL(109,L210)&gt;0,SUBTOTAL(109,L210),
IF(SUBTOTAL(109,L209)&gt;0,SUBTOTAL(109,L209),
))))))))))))),1,0)</f>
        <v>1</v>
      </c>
      <c r="E223" s="971">
        <f>IF(AND(Расходы_4[[#This Row],[КЦ]]="14561Э",M222="14561Т"),1,
IF(Расходы_4[[#This Row],[КЦ]]&gt;
IF(SUBTOTAL(109,M222)&gt;0,SUBTOTAL(109,M222),
IF(SUBTOTAL(109,M221)&gt;0,SUBTOTAL(109,M221),
IF(SUBTOTAL(109,M220)&gt;0,SUBTOTAL(109,M220),
IF(SUBTOTAL(109,M219)&gt;0,SUBTOTAL(109,M219),
IF(SUBTOTAL(109,M217)&gt;0,SUBTOTAL(109,M217),
IF(SUBTOTAL(109,M216)&gt;0,SUBTOTAL(109,M216),
IF(SUBTOTAL(109,M215)&gt;0,SUBTOTAL(109,M215),
IF(SUBTOTAL(109,M214)&gt;0,SUBTOTAL(109,M214),
IF(SUBTOTAL(109,M213)&gt;0,SUBTOTAL(109,M213),
IF(SUBTOTAL(109,M212)&gt;0,SUBTOTAL(109,M212),
IF(SUBTOTAL(109,M211)&gt;0,SUBTOTAL(109,M211),
IF(SUBTOTAL(109,M210)&gt;0,SUBTOTAL(109,M210),
IF(SUBTOTAL(109,M209)&gt;0,SUBTOTAL(109,M209),
))))))))))))),1,0))</f>
        <v>1</v>
      </c>
      <c r="F223" s="971">
        <f>IF(Расходы_4[[#This Row],[КОСГУ]]&gt;
IF(SUBTOTAL(109,N222)&gt;0,SUBTOTAL(109,N222),
IF(SUBTOTAL(109,N221)&gt;0,SUBTOTAL(109,N221),
IF(SUBTOTAL(109,N220)&gt;0,SUBTOTAL(109,N220),
IF(SUBTOTAL(109,N219)&gt;0,SUBTOTAL(109,N219),
IF(SUBTOTAL(109,N217)&gt;0,SUBTOTAL(109,N217),
IF(SUBTOTAL(109,N216)&gt;0,SUBTOTAL(109,N216),
IF(SUBTOTAL(109,N215)&gt;0,SUBTOTAL(109,N215),
IF(SUBTOTAL(109,N214)&gt;0,SUBTOTAL(109,N214),
IF(SUBTOTAL(109,N213)&gt;0,SUBTOTAL(109,N213),
IF(SUBTOTAL(109,N212)&gt;0,SUBTOTAL(109,N212),
IF(SUBTOTAL(109,N211)&gt;0,SUBTOTAL(109,N211),
IF(SUBTOTAL(109,N210)&gt;0,SUBTOTAL(109,N210),
IF(SUBTOTAL(109,N209)&gt;0,SUBTOTAL(109,N209),
))))))))))))),1,0)</f>
        <v>0</v>
      </c>
      <c r="G223" s="971" t="e">
        <f ca="1">_xlfn.AGGREGATE(9,5,$D$139:D223)</f>
        <v>#NAME?</v>
      </c>
      <c r="H223" s="971" t="e">
        <f ca="1">_xlfn.AGGREGATE(9,5,$E$139:E223)</f>
        <v>#NAME?</v>
      </c>
      <c r="I223" s="1357" t="e">
        <f ca="1">_xlfn.AGGREGATE(9,5,$F$139:F223)</f>
        <v>#NAME?</v>
      </c>
      <c r="J223" s="1359" t="str">
        <f>IF(SUM(Расходы_4[[#This Row],[2 025]:[2 027]])=0,"000",".")</f>
        <v>.</v>
      </c>
      <c r="K223" s="1369">
        <v>4</v>
      </c>
      <c r="L223" s="1370">
        <v>247</v>
      </c>
      <c r="M223" s="1370" t="s">
        <v>783</v>
      </c>
      <c r="N223" s="1370">
        <v>223</v>
      </c>
      <c r="O223" s="1362">
        <v>1059400</v>
      </c>
      <c r="P223" s="1362">
        <v>1059400</v>
      </c>
      <c r="Q223" s="1362">
        <v>1059400</v>
      </c>
      <c r="R223" s="1281" t="s">
        <v>745</v>
      </c>
      <c r="S223" s="1128"/>
      <c r="Y223" s="959"/>
      <c r="Z223" s="959"/>
      <c r="AA223" s="960"/>
      <c r="AE223" s="50">
        <f>COUNT(102,$AF$115:AF199)-1</f>
        <v>85</v>
      </c>
      <c r="AF223" s="50">
        <v>1</v>
      </c>
    </row>
    <row r="224" spans="1:104" s="51" customFormat="1" ht="20.25" customHeight="1" thickBot="1">
      <c r="A224" s="971">
        <f>IF(Расходы_4[[#This Row],[КВР]]&gt;=
IF(SUBTOTAL(109,L223)&gt;0,SUBTOTAL(109,L223),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))))))))))))),1,0)</f>
        <v>1</v>
      </c>
      <c r="B224" s="971">
        <f>IF(AND(Расходы_4[[#This Row],[КЦ]]="14561Э",M223="14561Т"),1,
IF(Расходы_4[[#This Row],[КЦ]]&gt;=
IF(SUBTOTAL(109,M223)&gt;0,SUBTOTAL(109,M223),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))))))))))))),1,0))</f>
        <v>1</v>
      </c>
      <c r="C224" s="971">
        <f>IF(Расходы_4[[#This Row],[КОСГУ]]&gt;=
IF(SUBTOTAL(109,N223)&gt;0,SUBTOTAL(109,N223),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))))))))))))),1,0)</f>
        <v>1</v>
      </c>
      <c r="D224" s="971">
        <f>IF(Расходы_4[[#This Row],[КВР]]&gt;
IF(SUBTOTAL(109,L223)&gt;0,SUBTOTAL(109,L223),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))))))))))))),1,0)</f>
        <v>0</v>
      </c>
      <c r="E224" s="971">
        <f>IF(AND(Расходы_4[[#This Row],[КЦ]]="14561Э",M223="14561Т"),1,
IF(Расходы_4[[#This Row],[КЦ]]&gt;
IF(SUBTOTAL(109,M223)&gt;0,SUBTOTAL(109,M223),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))))))))))))),1,0))</f>
        <v>1</v>
      </c>
      <c r="F224" s="971">
        <f>IF(Расходы_4[[#This Row],[КОСГУ]]&gt;
IF(SUBTOTAL(109,N223)&gt;0,SUBTOTAL(109,N223),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))))))))))))),1,0)</f>
        <v>0</v>
      </c>
      <c r="G224" s="971" t="e">
        <f ca="1">_xlfn.AGGREGATE(9,5,$D$139:D224)</f>
        <v>#NAME?</v>
      </c>
      <c r="H224" s="971" t="e">
        <f ca="1">_xlfn.AGGREGATE(9,5,$E$139:E224)</f>
        <v>#NAME?</v>
      </c>
      <c r="I224" s="1357" t="e">
        <f ca="1">_xlfn.AGGREGATE(9,5,$F$139:F224)</f>
        <v>#NAME?</v>
      </c>
      <c r="J224" s="1364" t="str">
        <f>IF(SUM(Расходы_4[[#This Row],[2 025]:[2 027]])=0,"000",".")</f>
        <v>.</v>
      </c>
      <c r="K224" s="1371">
        <v>4</v>
      </c>
      <c r="L224" s="1372">
        <v>247</v>
      </c>
      <c r="M224" s="1372" t="s">
        <v>784</v>
      </c>
      <c r="N224" s="1372">
        <v>223</v>
      </c>
      <c r="O224" s="1429">
        <f>13665600+662612.42-1399000-1408300-3834000+1399000-633100+160000+4289200</f>
        <v>12902012.42</v>
      </c>
      <c r="P224" s="1368">
        <v>13665600</v>
      </c>
      <c r="Q224" s="1368">
        <v>13665600</v>
      </c>
      <c r="R224" s="1281" t="s">
        <v>571</v>
      </c>
      <c r="S224" s="1128"/>
      <c r="Y224" s="959"/>
      <c r="Z224" s="959"/>
      <c r="AA224" s="960"/>
      <c r="AE224" s="50">
        <f>COUNT(102,$AF$115:AF200)-1</f>
        <v>86</v>
      </c>
      <c r="AF224" s="50">
        <v>1</v>
      </c>
    </row>
    <row r="225" spans="1:32" s="51" customFormat="1" ht="20.25" customHeight="1" thickBot="1">
      <c r="A225" s="971">
        <f>IF(Расходы_4[[#This Row],[КВР]]&gt;=
IF(SUBTOTAL(109,L223)&gt;0,SUBTOTAL(109,L223),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))))))))))))),1,0)</f>
        <v>1</v>
      </c>
      <c r="B225" s="971">
        <f>IF(AND(Расходы_4[[#This Row],[КЦ]]="14561Э",M223="14561Т"),1,
IF(Расходы_4[[#This Row],[КЦ]]&gt;=
IF(SUBTOTAL(109,M223)&gt;0,SUBTOTAL(109,M223),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))))))))))))),1,0))</f>
        <v>1</v>
      </c>
      <c r="C225" s="971">
        <f>IF(Расходы_4[[#This Row],[КОСГУ]]&gt;=
IF(SUBTOTAL(109,N223)&gt;0,SUBTOTAL(109,N223),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))))))))))))),1,0)</f>
        <v>1</v>
      </c>
      <c r="D225" s="971">
        <f>IF(Расходы_4[[#This Row],[КВР]]&gt;
IF(SUBTOTAL(109,L223)&gt;0,SUBTOTAL(109,L223),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))))))))))))),1,0)</f>
        <v>0</v>
      </c>
      <c r="E225" s="971">
        <f>IF(AND(Расходы_4[[#This Row],[КЦ]]="14561Э",M223="14561Т"),1,
IF(Расходы_4[[#This Row],[КЦ]]&gt;
IF(SUBTOTAL(109,M223)&gt;0,SUBTOTAL(109,M223),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))))))))))))),1,0))</f>
        <v>1</v>
      </c>
      <c r="F225" s="971">
        <f>IF(Расходы_4[[#This Row],[КОСГУ]]&gt;
IF(SUBTOTAL(109,N223)&gt;0,SUBTOTAL(109,N223),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))))))))))))),1,0)</f>
        <v>0</v>
      </c>
      <c r="G225" s="971" t="e">
        <f ca="1">_xlfn.AGGREGATE(9,5,$D$139:D225)</f>
        <v>#NAME?</v>
      </c>
      <c r="H225" s="971" t="e">
        <f ca="1">_xlfn.AGGREGATE(9,5,$E$139:E225)</f>
        <v>#NAME?</v>
      </c>
      <c r="I225" s="1357" t="e">
        <f ca="1">_xlfn.AGGREGATE(9,5,$F$139:F225)</f>
        <v>#NAME?</v>
      </c>
      <c r="J225" s="1365" t="str">
        <f>IF(SUM(Расходы_4[[#This Row],[2 025]:[2 027]])=0,"000",".")</f>
        <v>.</v>
      </c>
      <c r="K225" s="1373">
        <v>4</v>
      </c>
      <c r="L225" s="1374">
        <v>247</v>
      </c>
      <c r="M225" s="1374" t="s">
        <v>785</v>
      </c>
      <c r="N225" s="1374">
        <v>223</v>
      </c>
      <c r="O225" s="1368">
        <v>2219600</v>
      </c>
      <c r="P225" s="1368">
        <v>2219600</v>
      </c>
      <c r="Q225" s="1368">
        <v>2219600</v>
      </c>
      <c r="R225" s="1281" t="s">
        <v>570</v>
      </c>
      <c r="S225" s="1128"/>
      <c r="Y225" s="959"/>
      <c r="Z225" s="959"/>
      <c r="AA225" s="960"/>
      <c r="AE225" s="50">
        <f>COUNT(102,$AF$115:AF201)-1</f>
        <v>87</v>
      </c>
      <c r="AF225" s="50">
        <v>1</v>
      </c>
    </row>
    <row r="226" spans="1:32" s="51" customFormat="1" ht="20.25" customHeight="1">
      <c r="A226" s="971">
        <f>IF(Расходы_4[[#This Row],[КВР]]&gt;=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))))))))))))),1,0)</f>
        <v>1</v>
      </c>
      <c r="B226" s="971">
        <f>IF(AND(Расходы_4[[#This Row],[КЦ]]="14561Э",M224="14561Т"),1,
IF(Расходы_4[[#This Row],[КЦ]]&gt;=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))))))))))))),1,0))</f>
        <v>0</v>
      </c>
      <c r="C226" s="971">
        <f>IF(Расходы_4[[#This Row],[КОСГУ]]&gt;=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))))))))))))),1,0)</f>
        <v>1</v>
      </c>
      <c r="D226" s="971">
        <f>IF(Расходы_4[[#This Row],[КВР]]&gt;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IF(SUBTOTAL(109,L211)&gt;0,SUBTOTAL(109,L211),
))))))))))))),1,0)</f>
        <v>1</v>
      </c>
      <c r="E226" s="971">
        <f>IF(AND(Расходы_4[[#This Row],[КЦ]]="14561Э",M224="14561Т"),1,
IF(Расходы_4[[#This Row],[КЦ]]&gt;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IF(SUBTOTAL(109,M211)&gt;0,SUBTOTAL(109,M211),
))))))))))))),1,0))</f>
        <v>0</v>
      </c>
      <c r="F226" s="971">
        <f>IF(Расходы_4[[#This Row],[КОСГУ]]&gt;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IF(SUBTOTAL(109,N211)&gt;0,SUBTOTAL(109,N211),
))))))))))))),1,0)</f>
        <v>1</v>
      </c>
      <c r="G226" s="971" t="e">
        <f ca="1">_xlfn.AGGREGATE(9,5,$D$139:D226)</f>
        <v>#NAME?</v>
      </c>
      <c r="H226" s="971" t="e">
        <f ca="1">_xlfn.AGGREGATE(9,5,$E$139:E226)</f>
        <v>#NAME?</v>
      </c>
      <c r="I226" s="971" t="e">
        <f ca="1">_xlfn.AGGREGATE(9,5,$F$139:F226)</f>
        <v>#NAME?</v>
      </c>
      <c r="J226" s="1358" t="str">
        <f>IF(SUM(Расходы_4[[#This Row],[2 025]:[2 027]])=0,"000",".")</f>
        <v>000</v>
      </c>
      <c r="K226" s="1287">
        <v>4</v>
      </c>
      <c r="L226" s="1266">
        <v>321</v>
      </c>
      <c r="M226" s="1266">
        <v>15561</v>
      </c>
      <c r="N226" s="1266">
        <v>262</v>
      </c>
      <c r="O226" s="1309"/>
      <c r="P226" s="1381"/>
      <c r="Q226" s="1320"/>
      <c r="R226" s="1281"/>
      <c r="S226" s="1128"/>
      <c r="Y226" s="959"/>
      <c r="Z226" s="959"/>
      <c r="AA226" s="960"/>
      <c r="AF226" s="50">
        <v>1</v>
      </c>
    </row>
    <row r="227" spans="1:32" s="51" customFormat="1" ht="20.25" customHeight="1">
      <c r="A227" s="971">
        <f>IF(Расходы_4[[#This Row],[КВР]]&gt;=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))))))))))))),1,0)</f>
        <v>1</v>
      </c>
      <c r="B227" s="971">
        <f>IF(AND(Расходы_4[[#This Row],[КЦ]]="14561Э",M226="14561Т"),1,
IF(Расходы_4[[#This Row],[КЦ]]&gt;=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))))))))))))),1,0))</f>
        <v>1</v>
      </c>
      <c r="C227" s="971">
        <f>IF(Расходы_4[[#This Row],[КОСГУ]]&gt;=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))))))))))))),1,0)</f>
        <v>1</v>
      </c>
      <c r="D227" s="971">
        <f>IF(Расходы_4[[#This Row],[КВР]]&gt;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IF(SUBTOTAL(109,L212)&gt;0,SUBTOTAL(109,L212),
))))))))))))),1,0)</f>
        <v>0</v>
      </c>
      <c r="E227" s="971">
        <f>IF(AND(Расходы_4[[#This Row],[КЦ]]="14561Э",M226="14561Т"),1,
IF(Расходы_4[[#This Row],[КЦ]]&gt;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IF(SUBTOTAL(109,M212)&gt;0,SUBTOTAL(109,M212),
))))))))))))),1,0))</f>
        <v>1</v>
      </c>
      <c r="F227" s="971">
        <f>IF(Расходы_4[[#This Row],[КОСГУ]]&gt;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IF(SUBTOTAL(109,N212)&gt;0,SUBTOTAL(109,N212),
))))))))))))),1,0)</f>
        <v>1</v>
      </c>
      <c r="G227" s="971" t="e">
        <f ca="1">_xlfn.AGGREGATE(9,5,$D$139:D227)</f>
        <v>#NAME?</v>
      </c>
      <c r="H227" s="971" t="e">
        <f ca="1">_xlfn.AGGREGATE(9,5,$E$139:E227)</f>
        <v>#NAME?</v>
      </c>
      <c r="I227" s="971" t="e">
        <f ca="1">_xlfn.AGGREGATE(9,5,$F$139:F227)</f>
        <v>#NAME?</v>
      </c>
      <c r="J227" s="968" t="str">
        <f>IF(SUM(Расходы_4[[#This Row],[2 025]:[2 027]])=0,"000",".")</f>
        <v>000</v>
      </c>
      <c r="K227" s="965">
        <v>4</v>
      </c>
      <c r="L227" s="908">
        <v>321</v>
      </c>
      <c r="M227" s="908">
        <v>16561</v>
      </c>
      <c r="N227" s="908">
        <v>264</v>
      </c>
      <c r="O227" s="1310"/>
      <c r="P227" s="1376"/>
      <c r="Q227" s="1321"/>
      <c r="R227" s="1281" t="s">
        <v>934</v>
      </c>
      <c r="S227" s="1128"/>
      <c r="Y227" s="959"/>
      <c r="Z227" s="959"/>
      <c r="AA227" s="960"/>
      <c r="AF227" s="50">
        <v>1</v>
      </c>
    </row>
    <row r="228" spans="1:32" s="51" customFormat="1" ht="20.25" customHeight="1">
      <c r="A228" s="971">
        <f>IF(Расходы_4[[#This Row],[КВР]]&gt;=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))))))))))))),1,0)</f>
        <v>1</v>
      </c>
      <c r="B228" s="971">
        <f>IF(AND(Расходы_4[[#This Row],[КЦ]]="14561Э",M227="14561Т"),1,
IF(Расходы_4[[#This Row],[КЦ]]&gt;=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))))))))))))),1,0))</f>
        <v>1</v>
      </c>
      <c r="C228" s="971">
        <f>IF(Расходы_4[[#This Row],[КОСГУ]]&gt;=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))))))))))))),1,0)</f>
        <v>1</v>
      </c>
      <c r="D228" s="971">
        <f>IF(Расходы_4[[#This Row],[КВР]]&gt;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IF(SUBTOTAL(109,L213)&gt;0,SUBTOTAL(109,L213),
))))))))))))),1,0)</f>
        <v>0</v>
      </c>
      <c r="E228" s="971">
        <f>IF(AND(Расходы_4[[#This Row],[КЦ]]="14561Э",M227="14561Т"),1,
IF(Расходы_4[[#This Row],[КЦ]]&gt;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IF(SUBTOTAL(109,M213)&gt;0,SUBTOTAL(109,M213),
))))))))))))),1,0))</f>
        <v>0</v>
      </c>
      <c r="F228" s="971">
        <f>IF(Расходы_4[[#This Row],[КОСГУ]]&gt;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IF(SUBTOTAL(109,N213)&gt;0,SUBTOTAL(109,N213),
))))))))))))),1,0)</f>
        <v>1</v>
      </c>
      <c r="G228" s="971" t="e">
        <f ca="1">_xlfn.AGGREGATE(9,5,$D$139:D228)</f>
        <v>#NAME?</v>
      </c>
      <c r="H228" s="971" t="e">
        <f ca="1">_xlfn.AGGREGATE(9,5,$E$139:E228)</f>
        <v>#NAME?</v>
      </c>
      <c r="I228" s="971" t="e">
        <f ca="1">_xlfn.AGGREGATE(9,5,$F$139:F228)</f>
        <v>#NAME?</v>
      </c>
      <c r="J228" s="968" t="str">
        <f>IF(SUM(Расходы_4[[#This Row],[2 025]:[2 027]])=0,"000",".")</f>
        <v>000</v>
      </c>
      <c r="K228" s="965">
        <v>4</v>
      </c>
      <c r="L228" s="908">
        <v>321</v>
      </c>
      <c r="M228" s="908">
        <v>16561</v>
      </c>
      <c r="N228" s="908">
        <v>265</v>
      </c>
      <c r="O228" s="1310"/>
      <c r="P228" s="1376"/>
      <c r="Q228" s="1321"/>
      <c r="R228" s="1281" t="s">
        <v>255</v>
      </c>
      <c r="S228" s="1128"/>
      <c r="Y228" s="959"/>
      <c r="Z228" s="959"/>
      <c r="AA228" s="960"/>
      <c r="AF228" s="50">
        <v>1</v>
      </c>
    </row>
    <row r="229" spans="1:32" s="51" customFormat="1" ht="20.25" customHeight="1">
      <c r="A229" s="971">
        <f>IF(Расходы_4[[#This Row],[КВР]]&gt;=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))))))))))))),1,0)</f>
        <v>1</v>
      </c>
      <c r="B229" s="971">
        <f>IF(AND(Расходы_4[[#This Row],[КЦ]]="14561Э",M228="14561Т"),1,
IF(Расходы_4[[#This Row],[КЦ]]&gt;=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))))))))))))),1,0))</f>
        <v>0</v>
      </c>
      <c r="C229" s="971">
        <f>IF(Расходы_4[[#This Row],[КОСГУ]]&gt;=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))))))))))))),1,0)</f>
        <v>0</v>
      </c>
      <c r="D229" s="971">
        <f>IF(Расходы_4[[#This Row],[КВР]]&gt;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IF(SUBTOTAL(109,L214)&gt;0,SUBTOTAL(109,L214),
))))))))))))),1,0)</f>
        <v>1</v>
      </c>
      <c r="E229" s="971">
        <f>IF(AND(Расходы_4[[#This Row],[КЦ]]="14561Э",M228="14561Т"),1,
IF(Расходы_4[[#This Row],[КЦ]]&gt;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IF(SUBTOTAL(109,M214)&gt;0,SUBTOTAL(109,M214),
))))))))))))),1,0))</f>
        <v>0</v>
      </c>
      <c r="F229" s="971">
        <f>IF(Расходы_4[[#This Row],[КОСГУ]]&gt;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IF(SUBTOTAL(109,N214)&gt;0,SUBTOTAL(109,N214),
))))))))))))),1,0)</f>
        <v>0</v>
      </c>
      <c r="G229" s="971" t="e">
        <f ca="1">_xlfn.AGGREGATE(9,5,$D$139:D229)</f>
        <v>#NAME?</v>
      </c>
      <c r="H229" s="971" t="e">
        <f ca="1">_xlfn.AGGREGATE(9,5,$E$139:E229)</f>
        <v>#NAME?</v>
      </c>
      <c r="I229" s="971" t="e">
        <f ca="1">_xlfn.AGGREGATE(9,5,$F$139:F229)</f>
        <v>#NAME?</v>
      </c>
      <c r="J229" s="968" t="str">
        <f>IF(SUM(Расходы_4[[#This Row],[2 025]:[2 027]])=0,"000",".")</f>
        <v>000</v>
      </c>
      <c r="K229" s="965">
        <v>4</v>
      </c>
      <c r="L229" s="908">
        <v>323</v>
      </c>
      <c r="M229" s="908">
        <v>15561</v>
      </c>
      <c r="N229" s="908">
        <v>263</v>
      </c>
      <c r="O229" s="1310"/>
      <c r="P229" s="1376"/>
      <c r="Q229" s="1321"/>
      <c r="R229" s="1281" t="s">
        <v>933</v>
      </c>
      <c r="S229" s="1128"/>
      <c r="Y229" s="959"/>
      <c r="Z229" s="959"/>
      <c r="AA229" s="960"/>
      <c r="AF229" s="50">
        <v>1</v>
      </c>
    </row>
    <row r="230" spans="1:32" s="51" customFormat="1" ht="20.25" customHeight="1" thickBot="1">
      <c r="A230" s="971">
        <f>IF(Расходы_4[[#This Row],[КВР]]&gt;=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))))))))))))),1,0)</f>
        <v>1</v>
      </c>
      <c r="B230" s="971">
        <f>IF(AND(Расходы_4[[#This Row],[КЦ]]="14561Э",M229="14561Т"),1,
IF(Расходы_4[[#This Row],[КЦ]]&gt;=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))))))))))))),1,0))</f>
        <v>1</v>
      </c>
      <c r="C230" s="971">
        <f>IF(Расходы_4[[#This Row],[КОСГУ]]&gt;=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))))))))))))),1,0)</f>
        <v>1</v>
      </c>
      <c r="D230" s="971">
        <f>IF(Расходы_4[[#This Row],[КВР]]&gt;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IF(SUBTOTAL(109,L215)&gt;0,SUBTOTAL(109,L215),
))))))))))))),1,0)</f>
        <v>1</v>
      </c>
      <c r="E230" s="971">
        <f>IF(AND(Расходы_4[[#This Row],[КЦ]]="14561Э",M229="14561Т"),1,
IF(Расходы_4[[#This Row],[КЦ]]&gt;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IF(SUBTOTAL(109,M215)&gt;0,SUBTOTAL(109,M215),
))))))))))))),1,0))</f>
        <v>1</v>
      </c>
      <c r="F230" s="971">
        <f>IF(Расходы_4[[#This Row],[КОСГУ]]&gt;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IF(SUBTOTAL(109,N215)&gt;0,SUBTOTAL(109,N215),
))))))))))))),1,0)</f>
        <v>1</v>
      </c>
      <c r="G230" s="971" t="e">
        <f ca="1">_xlfn.AGGREGATE(9,5,$D$139:D230)</f>
        <v>#NAME?</v>
      </c>
      <c r="H230" s="971" t="e">
        <f ca="1">_xlfn.AGGREGATE(9,5,$E$139:E230)</f>
        <v>#NAME?</v>
      </c>
      <c r="I230" s="971" t="e">
        <f ca="1">_xlfn.AGGREGATE(9,5,$F$139:F230)</f>
        <v>#NAME?</v>
      </c>
      <c r="J230" s="953" t="str">
        <f>IF(SUM(Расходы_4[[#This Row],[2 025]:[2 027]])=0,"000",".")</f>
        <v>000</v>
      </c>
      <c r="K230" s="969">
        <v>4</v>
      </c>
      <c r="L230" s="909">
        <v>350</v>
      </c>
      <c r="M230" s="909">
        <v>16561</v>
      </c>
      <c r="N230" s="909">
        <v>296</v>
      </c>
      <c r="O230" s="1311"/>
      <c r="P230" s="1377"/>
      <c r="Q230" s="1322"/>
      <c r="R230" s="1281" t="s">
        <v>263</v>
      </c>
      <c r="S230" s="1128"/>
      <c r="Y230" s="959"/>
      <c r="Z230" s="959"/>
      <c r="AA230" s="960"/>
      <c r="AF230" s="50">
        <v>1</v>
      </c>
    </row>
    <row r="231" spans="1:32" s="51" customFormat="1" ht="20.25" customHeight="1">
      <c r="A231" s="971">
        <f>IF(Расходы_4[[#This Row],[КВР]]&gt;=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))))))))))))),1,0)</f>
        <v>1</v>
      </c>
      <c r="B231" s="971">
        <f>IF(AND(Расходы_4[[#This Row],[КЦ]]="14561Э",M230="14561Т"),1,
IF(Расходы_4[[#This Row],[КЦ]]&gt;=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))))))))))))),1,0))</f>
        <v>1</v>
      </c>
      <c r="C231" s="971">
        <f>IF(Расходы_4[[#This Row],[КОСГУ]]&gt;=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))))))))))))),1,0)</f>
        <v>0</v>
      </c>
      <c r="D231" s="971">
        <f>IF(Расходы_4[[#This Row],[КВР]]&gt;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IF(SUBTOTAL(109,L216)&gt;0,SUBTOTAL(109,L216),
))))))))))))),1,0)</f>
        <v>1</v>
      </c>
      <c r="E231" s="971">
        <f>IF(AND(Расходы_4[[#This Row],[КЦ]]="14561Э",M230="14561Т"),1,
IF(Расходы_4[[#This Row],[КЦ]]&gt;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IF(SUBTOTAL(109,M216)&gt;0,SUBTOTAL(109,M216),
))))))))))))),1,0))</f>
        <v>1</v>
      </c>
      <c r="F231" s="971">
        <f>IF(Расходы_4[[#This Row],[КОСГУ]]&gt;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IF(SUBTOTAL(109,N216)&gt;0,SUBTOTAL(109,N216),
))))))))))))),1,0)</f>
        <v>0</v>
      </c>
      <c r="G231" s="971" t="e">
        <f ca="1">_xlfn.AGGREGATE(9,5,$D$139:D231)</f>
        <v>#NAME?</v>
      </c>
      <c r="H231" s="971" t="e">
        <f ca="1">_xlfn.AGGREGATE(9,5,$E$139:E231)</f>
        <v>#NAME?</v>
      </c>
      <c r="I231" s="1357" t="e">
        <f ca="1">_xlfn.AGGREGATE(9,5,$F$139:F231)</f>
        <v>#NAME?</v>
      </c>
      <c r="J231" s="1359" t="str">
        <f>IF(SUM(Расходы_4[[#This Row],[2 025]:[2 027]])=0,"000",".")</f>
        <v>.</v>
      </c>
      <c r="K231" s="1360">
        <v>4</v>
      </c>
      <c r="L231" s="1361">
        <v>851</v>
      </c>
      <c r="M231" s="1361">
        <v>16995</v>
      </c>
      <c r="N231" s="1361">
        <v>291</v>
      </c>
      <c r="O231" s="1362">
        <f>3145700+19795.84-786000+786000</f>
        <v>3165495.84</v>
      </c>
      <c r="P231" s="1390">
        <v>3093200</v>
      </c>
      <c r="Q231" s="1363">
        <v>3046900</v>
      </c>
      <c r="R231" s="1281" t="s">
        <v>264</v>
      </c>
      <c r="S231" s="1128"/>
      <c r="Y231" s="959"/>
      <c r="Z231" s="959"/>
      <c r="AA231" s="960"/>
      <c r="AF231" s="50">
        <v>1</v>
      </c>
    </row>
    <row r="232" spans="1:32" s="51" customFormat="1" ht="20.25" customHeight="1" thickBot="1">
      <c r="A232" s="971">
        <f>IF(Расходы_4[[#This Row],[КВР]]&gt;=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))))))))))))),1,0)</f>
        <v>1</v>
      </c>
      <c r="B232" s="971">
        <f>IF(AND(Расходы_4[[#This Row],[КЦ]]="14561Э",M231="14561Т"),1,
IF(Расходы_4[[#This Row],[КЦ]]&gt;=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))))))))))))),1,0))</f>
        <v>1</v>
      </c>
      <c r="C232" s="971">
        <f>IF(Расходы_4[[#This Row],[КОСГУ]]&gt;=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))))))))))))),1,0)</f>
        <v>1</v>
      </c>
      <c r="D232" s="971">
        <f>IF(Расходы_4[[#This Row],[КВР]]&gt;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IF(SUBTOTAL(109,L217)&gt;0,SUBTOTAL(109,L217),
))))))))))))),1,0)</f>
        <v>0</v>
      </c>
      <c r="E232" s="971">
        <f>IF(AND(Расходы_4[[#This Row],[КЦ]]="14561Э",M231="14561Т"),1,
IF(Расходы_4[[#This Row],[КЦ]]&gt;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IF(SUBTOTAL(109,M217)&gt;0,SUBTOTAL(109,M217),
))))))))))))),1,0))</f>
        <v>1</v>
      </c>
      <c r="F232" s="971">
        <f>IF(Расходы_4[[#This Row],[КОСГУ]]&gt;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IF(SUBTOTAL(109,N217)&gt;0,SUBTOTAL(109,N217),
))))))))))))),1,0)</f>
        <v>0</v>
      </c>
      <c r="G232" s="971" t="e">
        <f ca="1">_xlfn.AGGREGATE(9,5,$D$139:D232)</f>
        <v>#NAME?</v>
      </c>
      <c r="H232" s="971" t="e">
        <f ca="1">_xlfn.AGGREGATE(9,5,$E$139:E232)</f>
        <v>#NAME?</v>
      </c>
      <c r="I232" s="1357" t="e">
        <f ca="1">_xlfn.AGGREGATE(9,5,$F$139:F232)</f>
        <v>#NAME?</v>
      </c>
      <c r="J232" s="1365" t="str">
        <f>IF(SUM(Расходы_4[[#This Row],[2 025]:[2 027]])=0,"000",".")</f>
        <v>.</v>
      </c>
      <c r="K232" s="1366">
        <v>4</v>
      </c>
      <c r="L232" s="1367">
        <v>851</v>
      </c>
      <c r="M232" s="1367">
        <v>16996</v>
      </c>
      <c r="N232" s="1367">
        <v>291</v>
      </c>
      <c r="O232" s="1368">
        <f>728600-182150+182150</f>
        <v>728600</v>
      </c>
      <c r="P232" s="1368">
        <v>728600</v>
      </c>
      <c r="Q232" s="1368">
        <v>728600</v>
      </c>
      <c r="R232" s="1281" t="s">
        <v>265</v>
      </c>
      <c r="S232" s="1128"/>
      <c r="Y232" s="959"/>
      <c r="Z232" s="959"/>
      <c r="AA232" s="960"/>
      <c r="AF232" s="50">
        <v>1</v>
      </c>
    </row>
    <row r="233" spans="1:32" s="51" customFormat="1" ht="20.25" customHeight="1">
      <c r="A233" s="971">
        <f>IF(Расходы_4[[#This Row],[КВР]]&gt;=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))))))))))))),1,0)</f>
        <v>1</v>
      </c>
      <c r="B233" s="971">
        <f>IF(AND(Расходы_4[[#This Row],[КЦ]]="14561Э",M232="14561Т"),1,
IF(Расходы_4[[#This Row],[КЦ]]&gt;=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))))))))))))),1,0))</f>
        <v>0</v>
      </c>
      <c r="C233" s="971">
        <f>IF(Расходы_4[[#This Row],[КОСГУ]]&gt;=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))))))))))))),1,0)</f>
        <v>1</v>
      </c>
      <c r="D233" s="971">
        <f>IF(Расходы_4[[#This Row],[КВР]]&gt;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IF(SUBTOTAL(109,L218)&gt;0,SUBTOTAL(109,L218),
))))))))))))),1,0)</f>
        <v>1</v>
      </c>
      <c r="E233" s="971">
        <f>IF(AND(Расходы_4[[#This Row],[КЦ]]="14561Э",M232="14561Т"),1,
IF(Расходы_4[[#This Row],[КЦ]]&gt;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IF(SUBTOTAL(109,M218)&gt;0,SUBTOTAL(109,M218),
))))))))))))),1,0))</f>
        <v>0</v>
      </c>
      <c r="F233" s="971">
        <f>IF(Расходы_4[[#This Row],[КОСГУ]]&gt;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IF(SUBTOTAL(109,N218)&gt;0,SUBTOTAL(109,N218),
))))))))))))),1,0)</f>
        <v>0</v>
      </c>
      <c r="G233" s="971" t="e">
        <f ca="1">_xlfn.AGGREGATE(9,5,$D$139:D233)</f>
        <v>#NAME?</v>
      </c>
      <c r="H233" s="971" t="e">
        <f ca="1">_xlfn.AGGREGATE(9,5,$E$139:E233)</f>
        <v>#NAME?</v>
      </c>
      <c r="I233" s="971" t="e">
        <f ca="1">_xlfn.AGGREGATE(9,5,$F$139:F233)</f>
        <v>#NAME?</v>
      </c>
      <c r="J233" s="1358" t="str">
        <f>IF(SUM(Расходы_4[[#This Row],[2 025]:[2 027]])=0,"000",".")</f>
        <v>000</v>
      </c>
      <c r="K233" s="1287">
        <v>4</v>
      </c>
      <c r="L233" s="1266">
        <v>852</v>
      </c>
      <c r="M233" s="1266">
        <v>16561</v>
      </c>
      <c r="N233" s="1266">
        <v>291</v>
      </c>
      <c r="O233" s="1344"/>
      <c r="P233" s="1379"/>
      <c r="Q233" s="1352"/>
      <c r="R233" s="1281" t="s">
        <v>257</v>
      </c>
      <c r="S233" s="1128"/>
      <c r="Y233" s="959"/>
      <c r="Z233" s="959"/>
      <c r="AA233" s="960"/>
      <c r="AF233" s="50">
        <v>1</v>
      </c>
    </row>
    <row r="234" spans="1:32" s="51" customFormat="1" ht="20.25" customHeight="1">
      <c r="A234" s="1190">
        <f>IF(Расходы_4[[#This Row],[КВР]]&gt;=
IF(SUBTOTAL(109,L233)&gt;0,SUBTOTAL(109,L233),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))))))))))))),1,0)</f>
        <v>1</v>
      </c>
      <c r="B234" s="1190">
        <f>IF(AND(Расходы_4[[#This Row],[КЦ]]="14561Э",M233="14561Т"),1,
IF(Расходы_4[[#This Row],[КЦ]]&gt;=
IF(SUBTOTAL(109,M233)&gt;0,SUBTOTAL(109,M233),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))))))))))))),1,0))</f>
        <v>1</v>
      </c>
      <c r="C234" s="1190">
        <f>IF(Расходы_4[[#This Row],[КОСГУ]]&gt;=
IF(SUBTOTAL(109,N233)&gt;0,SUBTOTAL(109,N233),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))))))))))))),1,0)</f>
        <v>1</v>
      </c>
      <c r="D234" s="1190">
        <f>IF(Расходы_4[[#This Row],[КВР]]&gt;
IF(SUBTOTAL(109,L233)&gt;0,SUBTOTAL(109,L233),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))))))))))))),1,0)</f>
        <v>0</v>
      </c>
      <c r="E234" s="1190">
        <f>IF(AND(Расходы_4[[#This Row],[КЦ]]="14561Э",M233="14561Т"),1,
IF(Расходы_4[[#This Row],[КЦ]]&gt;
IF(SUBTOTAL(109,M233)&gt;0,SUBTOTAL(109,M233),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))))))))))))),1,0))</f>
        <v>0</v>
      </c>
      <c r="F234" s="1190">
        <f>IF(Расходы_4[[#This Row],[КОСГУ]]&gt;
IF(SUBTOTAL(109,N233)&gt;0,SUBTOTAL(109,N233),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))))))))))))),1,0)</f>
        <v>0</v>
      </c>
      <c r="G234" s="1190" t="e">
        <f ca="1">_xlfn.AGGREGATE(9,5,$D$139:D234)</f>
        <v>#NAME?</v>
      </c>
      <c r="H234" s="1190" t="e">
        <f ca="1">_xlfn.AGGREGATE(9,5,$E$139:E234)</f>
        <v>#NAME?</v>
      </c>
      <c r="I234" s="1190" t="e">
        <f ca="1">_xlfn.AGGREGATE(9,5,$F$139:F234)</f>
        <v>#NAME?</v>
      </c>
      <c r="J234" s="1191" t="str">
        <f>IF(SUM(Расходы_4[[#This Row],[2 025]:[2 027]])=0,"000",".")</f>
        <v>000</v>
      </c>
      <c r="K234" s="1192">
        <v>4</v>
      </c>
      <c r="L234" s="1193">
        <v>852</v>
      </c>
      <c r="M234" s="1193">
        <v>16561</v>
      </c>
      <c r="N234" s="1193">
        <v>291</v>
      </c>
      <c r="O234" s="1347"/>
      <c r="P234" s="1382"/>
      <c r="Q234" s="1354"/>
      <c r="R234" s="1385" t="s">
        <v>1024</v>
      </c>
      <c r="S234" s="1128"/>
      <c r="Y234" s="959"/>
      <c r="Z234" s="959"/>
      <c r="AA234" s="960"/>
      <c r="AF234" s="50">
        <v>1</v>
      </c>
    </row>
    <row r="235" spans="1:32" s="51" customFormat="1" ht="20.25" customHeight="1">
      <c r="A235" s="971">
        <f>IF(Расходы_4[[#This Row],[КВР]]&gt;=
IF(SUBTOTAL(109,L233)&gt;0,SUBTOTAL(109,L233),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))))))))))))),1,0)</f>
        <v>1</v>
      </c>
      <c r="B235" s="971">
        <f>IF(AND(Расходы_4[[#This Row],[КЦ]]="14561Э",M233="14561Т"),1,
IF(Расходы_4[[#This Row],[КЦ]]&gt;=
IF(SUBTOTAL(109,M233)&gt;0,SUBTOTAL(109,M233),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))))))))))))),1,0))</f>
        <v>1</v>
      </c>
      <c r="C235" s="971">
        <f>IF(Расходы_4[[#This Row],[КОСГУ]]&gt;=
IF(SUBTOTAL(109,N233)&gt;0,SUBTOTAL(109,N233),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))))))))))))),1,0)</f>
        <v>1</v>
      </c>
      <c r="D235" s="971">
        <f>IF(Расходы_4[[#This Row],[КВР]]&gt;
IF(SUBTOTAL(109,L233)&gt;0,SUBTOTAL(109,L233),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IF(SUBTOTAL(109,L219)&gt;0,SUBTOTAL(109,L219),
))))))))))))),1,0)</f>
        <v>1</v>
      </c>
      <c r="E235" s="971">
        <f>IF(AND(Расходы_4[[#This Row],[КЦ]]="14561Э",M233="14561Т"),1,
IF(Расходы_4[[#This Row],[КЦ]]&gt;
IF(SUBTOTAL(109,M233)&gt;0,SUBTOTAL(109,M233),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IF(SUBTOTAL(109,M219)&gt;0,SUBTOTAL(109,M219),
))))))))))))),1,0))</f>
        <v>0</v>
      </c>
      <c r="F235" s="971">
        <f>IF(Расходы_4[[#This Row],[КОСГУ]]&gt;
IF(SUBTOTAL(109,N233)&gt;0,SUBTOTAL(109,N233),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IF(SUBTOTAL(109,N219)&gt;0,SUBTOTAL(109,N219),
))))))))))))),1,0)</f>
        <v>1</v>
      </c>
      <c r="G235" s="971" t="e">
        <f ca="1">_xlfn.AGGREGATE(9,5,$D$139:D235)</f>
        <v>#NAME?</v>
      </c>
      <c r="H235" s="971" t="e">
        <f ca="1">_xlfn.AGGREGATE(9,5,$E$139:E235)</f>
        <v>#NAME?</v>
      </c>
      <c r="I235" s="971" t="e">
        <f ca="1">_xlfn.AGGREGATE(9,5,$F$139:F235)</f>
        <v>#NAME?</v>
      </c>
      <c r="J235" s="968" t="str">
        <f>IF(SUM(Расходы_4[[#This Row],[2 025]:[2 027]])=0,"000",".")</f>
        <v>000</v>
      </c>
      <c r="K235" s="965">
        <v>4</v>
      </c>
      <c r="L235" s="908">
        <v>853</v>
      </c>
      <c r="M235" s="908">
        <v>16561</v>
      </c>
      <c r="N235" s="908">
        <v>292</v>
      </c>
      <c r="O235" s="1310"/>
      <c r="P235" s="1376"/>
      <c r="Q235" s="1321"/>
      <c r="R235" s="1281" t="s">
        <v>258</v>
      </c>
      <c r="S235" s="1128"/>
      <c r="Y235" s="959"/>
      <c r="Z235" s="959"/>
      <c r="AA235" s="960"/>
      <c r="AF235" s="50">
        <v>1</v>
      </c>
    </row>
    <row r="236" spans="1:32" s="51" customFormat="1" ht="20.25" customHeight="1">
      <c r="A236" s="971">
        <f>IF(Расходы_4[[#This Row],[КВР]]&gt;=
IF(SUBTOTAL(109,L235)&gt;0,SUBTOTAL(109,L235),
IF(SUBTOTAL(109,L233)&gt;0,SUBTOTAL(109,L233),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))))))))))))),1,0)</f>
        <v>1</v>
      </c>
      <c r="B236" s="971">
        <f>IF(AND(Расходы_4[[#This Row],[КЦ]]="14561Э",M235="14561Т"),1,
IF(Расходы_4[[#This Row],[КЦ]]&gt;=
IF(SUBTOTAL(109,M235)&gt;0,SUBTOTAL(109,M235),
IF(SUBTOTAL(109,M233)&gt;0,SUBTOTAL(109,M233),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))))))))))))),1,0))</f>
        <v>1</v>
      </c>
      <c r="C236" s="971">
        <f>IF(Расходы_4[[#This Row],[КОСГУ]]&gt;=
IF(SUBTOTAL(109,N235)&gt;0,SUBTOTAL(109,N235),
IF(SUBTOTAL(109,N233)&gt;0,SUBTOTAL(109,N233),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))))))))))))),1,0)</f>
        <v>1</v>
      </c>
      <c r="D236" s="971">
        <f>IF(Расходы_4[[#This Row],[КВР]]&gt;
IF(SUBTOTAL(109,L235)&gt;0,SUBTOTAL(109,L235),
IF(SUBTOTAL(109,L233)&gt;0,SUBTOTAL(109,L233),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IF(SUBTOTAL(109,L220)&gt;0,SUBTOTAL(109,L220),
))))))))))))),1,0)</f>
        <v>0</v>
      </c>
      <c r="E236" s="971">
        <f>IF(AND(Расходы_4[[#This Row],[КЦ]]="14561Э",M235="14561Т"),1,
IF(Расходы_4[[#This Row],[КЦ]]&gt;
IF(SUBTOTAL(109,M235)&gt;0,SUBTOTAL(109,M235),
IF(SUBTOTAL(109,M233)&gt;0,SUBTOTAL(109,M233),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IF(SUBTOTAL(109,M220)&gt;0,SUBTOTAL(109,M220),
))))))))))))),1,0))</f>
        <v>0</v>
      </c>
      <c r="F236" s="971">
        <f>IF(Расходы_4[[#This Row],[КОСГУ]]&gt;
IF(SUBTOTAL(109,N235)&gt;0,SUBTOTAL(109,N235),
IF(SUBTOTAL(109,N233)&gt;0,SUBTOTAL(109,N233),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IF(SUBTOTAL(109,N220)&gt;0,SUBTOTAL(109,N220),
))))))))))))),1,0)</f>
        <v>1</v>
      </c>
      <c r="G236" s="971" t="e">
        <f ca="1">_xlfn.AGGREGATE(9,5,$D$139:D236)</f>
        <v>#NAME?</v>
      </c>
      <c r="H236" s="971" t="e">
        <f ca="1">_xlfn.AGGREGATE(9,5,$E$139:E236)</f>
        <v>#NAME?</v>
      </c>
      <c r="I236" s="971" t="e">
        <f ca="1">_xlfn.AGGREGATE(9,5,$F$139:F236)</f>
        <v>#NAME?</v>
      </c>
      <c r="J236" s="968" t="str">
        <f>IF(SUM(Расходы_4[[#This Row],[2 025]:[2 027]])=0,"000",".")</f>
        <v>000</v>
      </c>
      <c r="K236" s="965">
        <v>4</v>
      </c>
      <c r="L236" s="908">
        <v>853</v>
      </c>
      <c r="M236" s="908">
        <v>16561</v>
      </c>
      <c r="N236" s="908">
        <v>293</v>
      </c>
      <c r="O236" s="1341"/>
      <c r="P236" s="1375"/>
      <c r="Q236" s="1349"/>
      <c r="R236" s="1386" t="s">
        <v>259</v>
      </c>
      <c r="S236" s="1128"/>
      <c r="Y236" s="959"/>
      <c r="Z236" s="959"/>
      <c r="AA236" s="960"/>
      <c r="AF236" s="50">
        <v>1</v>
      </c>
    </row>
    <row r="237" spans="1:32" s="51" customFormat="1" ht="20.25" customHeight="1">
      <c r="A237" s="971">
        <f>IF(Расходы_4[[#This Row],[КВР]]&gt;=
IF(SUBTOTAL(109,L236)&gt;0,SUBTOTAL(109,L236),
IF(SUBTOTAL(109,L235)&gt;0,SUBTOTAL(109,L235),
IF(SUBTOTAL(109,L233)&gt;0,SUBTOTAL(109,L233),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))))))))))))),1,0)</f>
        <v>1</v>
      </c>
      <c r="B237" s="971">
        <f>IF(AND(Расходы_4[[#This Row],[КЦ]]="14561Э",M236="14561Т"),1,
IF(Расходы_4[[#This Row],[КЦ]]&gt;=
IF(SUBTOTAL(109,M236)&gt;0,SUBTOTAL(109,M236),
IF(SUBTOTAL(109,M235)&gt;0,SUBTOTAL(109,M235),
IF(SUBTOTAL(109,M233)&gt;0,SUBTOTAL(109,M233),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))))))))))))),1,0))</f>
        <v>1</v>
      </c>
      <c r="C237" s="971">
        <f>IF(Расходы_4[[#This Row],[КОСГУ]]&gt;=
IF(SUBTOTAL(109,N236)&gt;0,SUBTOTAL(109,N236),
IF(SUBTOTAL(109,N235)&gt;0,SUBTOTAL(109,N235),
IF(SUBTOTAL(109,N233)&gt;0,SUBTOTAL(109,N233),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))))))))))))),1,0)</f>
        <v>1</v>
      </c>
      <c r="D237" s="971">
        <f>IF(Расходы_4[[#This Row],[КВР]]&gt;
IF(SUBTOTAL(109,L236)&gt;0,SUBTOTAL(109,L236),
IF(SUBTOTAL(109,L235)&gt;0,SUBTOTAL(109,L235),
IF(SUBTOTAL(109,L233)&gt;0,SUBTOTAL(109,L233),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IF(SUBTOTAL(109,L221)&gt;0,SUBTOTAL(109,L221),
))))))))))))),1,0)</f>
        <v>0</v>
      </c>
      <c r="E237" s="971">
        <f>IF(AND(Расходы_4[[#This Row],[КЦ]]="14561Э",M236="14561Т"),1,
IF(Расходы_4[[#This Row],[КЦ]]&gt;
IF(SUBTOTAL(109,M236)&gt;0,SUBTOTAL(109,M236),
IF(SUBTOTAL(109,M235)&gt;0,SUBTOTAL(109,M235),
IF(SUBTOTAL(109,M233)&gt;0,SUBTOTAL(109,M233),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IF(SUBTOTAL(109,M221)&gt;0,SUBTOTAL(109,M221),
))))))))))))),1,0))</f>
        <v>0</v>
      </c>
      <c r="F237" s="971">
        <f>IF(Расходы_4[[#This Row],[КОСГУ]]&gt;
IF(SUBTOTAL(109,N236)&gt;0,SUBTOTAL(109,N236),
IF(SUBTOTAL(109,N235)&gt;0,SUBTOTAL(109,N235),
IF(SUBTOTAL(109,N233)&gt;0,SUBTOTAL(109,N233),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IF(SUBTOTAL(109,N221)&gt;0,SUBTOTAL(109,N221),
))))))))))))),1,0)</f>
        <v>1</v>
      </c>
      <c r="G237" s="971" t="e">
        <f ca="1">_xlfn.AGGREGATE(9,5,$D$139:D237)</f>
        <v>#NAME?</v>
      </c>
      <c r="H237" s="971" t="e">
        <f ca="1">_xlfn.AGGREGATE(9,5,$E$139:E237)</f>
        <v>#NAME?</v>
      </c>
      <c r="I237" s="971" t="e">
        <f ca="1">_xlfn.AGGREGATE(9,5,$F$139:F237)</f>
        <v>#NAME?</v>
      </c>
      <c r="J237" s="968" t="str">
        <f>IF(SUM(Расходы_4[[#This Row],[2 025]:[2 027]])=0,"000",".")</f>
        <v>000</v>
      </c>
      <c r="K237" s="965">
        <v>4</v>
      </c>
      <c r="L237" s="908">
        <v>853</v>
      </c>
      <c r="M237" s="908">
        <v>16561</v>
      </c>
      <c r="N237" s="908">
        <v>295</v>
      </c>
      <c r="O237" s="1310"/>
      <c r="P237" s="1376"/>
      <c r="Q237" s="1321"/>
      <c r="R237" s="1386" t="s">
        <v>260</v>
      </c>
      <c r="S237" s="1128"/>
      <c r="Y237" s="959"/>
      <c r="Z237" s="959"/>
      <c r="AA237" s="960"/>
      <c r="AF237" s="50">
        <v>1</v>
      </c>
    </row>
    <row r="238" spans="1:32" s="51" customFormat="1" ht="20.25" customHeight="1" thickBot="1">
      <c r="A238" s="973">
        <f>IF(Расходы_4[[#This Row],[КВР]]&gt;=
IF(SUBTOTAL(109,L237)&gt;0,SUBTOTAL(109,L237),
IF(SUBTOTAL(109,L236)&gt;0,SUBTOTAL(109,L236),
IF(SUBTOTAL(109,L235)&gt;0,SUBTOTAL(109,L235),
IF(SUBTOTAL(109,L233)&gt;0,SUBTOTAL(109,L233),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))))))))))))),1,0)</f>
        <v>1</v>
      </c>
      <c r="B238" s="973">
        <f>IF(AND(Расходы_4[[#This Row],[КЦ]]="14561Э",M237="14561Т"),1,
IF(Расходы_4[[#This Row],[КЦ]]&gt;=
IF(SUBTOTAL(109,M237)&gt;0,SUBTOTAL(109,M237),
IF(SUBTOTAL(109,M236)&gt;0,SUBTOTAL(109,M236),
IF(SUBTOTAL(109,M235)&gt;0,SUBTOTAL(109,M235),
IF(SUBTOTAL(109,M233)&gt;0,SUBTOTAL(109,M233),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))))))))))))),1,0))</f>
        <v>1</v>
      </c>
      <c r="C238" s="973">
        <f>IF(Расходы_4[[#This Row],[КОСГУ]]&gt;=
IF(SUBTOTAL(109,N237)&gt;0,SUBTOTAL(109,N237),
IF(SUBTOTAL(109,N236)&gt;0,SUBTOTAL(109,N236),
IF(SUBTOTAL(109,N235)&gt;0,SUBTOTAL(109,N235),
IF(SUBTOTAL(109,N233)&gt;0,SUBTOTAL(109,N233),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))))))))))))),1,0)</f>
        <v>1</v>
      </c>
      <c r="D238" s="973">
        <f>IF(Расходы_4[[#This Row],[КВР]]&gt;
IF(SUBTOTAL(109,L237)&gt;0,SUBTOTAL(109,L237),
IF(SUBTOTAL(109,L236)&gt;0,SUBTOTAL(109,L236),
IF(SUBTOTAL(109,L235)&gt;0,SUBTOTAL(109,L235),
IF(SUBTOTAL(109,L233)&gt;0,SUBTOTAL(109,L233),
IF(SUBTOTAL(109,L232)&gt;0,SUBTOTAL(109,L232),
IF(SUBTOTAL(109,L231)&gt;0,SUBTOTAL(109,L231),
IF(SUBTOTAL(109,L230)&gt;0,SUBTOTAL(109,L230),
IF(SUBTOTAL(109,L229)&gt;0,SUBTOTAL(109,L229),
IF(SUBTOTAL(109,L228)&gt;0,SUBTOTAL(109,L228),
IF(SUBTOTAL(109,L227)&gt;0,SUBTOTAL(109,L227),
IF(SUBTOTAL(109,L226)&gt;0,SUBTOTAL(109,L226),
IF(SUBTOTAL(109,L224)&gt;0,SUBTOTAL(109,L224),
IF(SUBTOTAL(109,L222)&gt;0,SUBTOTAL(109,L222),
))))))))))))),1,0)</f>
        <v>0</v>
      </c>
      <c r="E238" s="973">
        <f>IF(AND(Расходы_4[[#This Row],[КЦ]]="14561Э",M237="14561Т"),1,
IF(Расходы_4[[#This Row],[КЦ]]&gt;
IF(SUBTOTAL(109,M237)&gt;0,SUBTOTAL(109,M237),
IF(SUBTOTAL(109,M236)&gt;0,SUBTOTAL(109,M236),
IF(SUBTOTAL(109,M235)&gt;0,SUBTOTAL(109,M235),
IF(SUBTOTAL(109,M233)&gt;0,SUBTOTAL(109,M233),
IF(SUBTOTAL(109,M232)&gt;0,SUBTOTAL(109,M232),
IF(SUBTOTAL(109,M231)&gt;0,SUBTOTAL(109,M231),
IF(SUBTOTAL(109,M230)&gt;0,SUBTOTAL(109,M230),
IF(SUBTOTAL(109,M229)&gt;0,SUBTOTAL(109,M229),
IF(SUBTOTAL(109,M228)&gt;0,SUBTOTAL(109,M228),
IF(SUBTOTAL(109,M227)&gt;0,SUBTOTAL(109,M227),
IF(SUBTOTAL(109,M226)&gt;0,SUBTOTAL(109,M226),
IF(SUBTOTAL(109,M224)&gt;0,SUBTOTAL(109,M224),
IF(SUBTOTAL(109,M222)&gt;0,SUBTOTAL(109,M222),
))))))))))))),1,0))</f>
        <v>0</v>
      </c>
      <c r="F238" s="973">
        <f>IF(Расходы_4[[#This Row],[КОСГУ]]&gt;
IF(SUBTOTAL(109,N237)&gt;0,SUBTOTAL(109,N237),
IF(SUBTOTAL(109,N236)&gt;0,SUBTOTAL(109,N236),
IF(SUBTOTAL(109,N235)&gt;0,SUBTOTAL(109,N235),
IF(SUBTOTAL(109,N233)&gt;0,SUBTOTAL(109,N233),
IF(SUBTOTAL(109,N232)&gt;0,SUBTOTAL(109,N232),
IF(SUBTOTAL(109,N231)&gt;0,SUBTOTAL(109,N231),
IF(SUBTOTAL(109,N230)&gt;0,SUBTOTAL(109,N230),
IF(SUBTOTAL(109,N229)&gt;0,SUBTOTAL(109,N229),
IF(SUBTOTAL(109,N228)&gt;0,SUBTOTAL(109,N228),
IF(SUBTOTAL(109,N227)&gt;0,SUBTOTAL(109,N227),
IF(SUBTOTAL(109,N226)&gt;0,SUBTOTAL(109,N226),
IF(SUBTOTAL(109,N224)&gt;0,SUBTOTAL(109,N224),
IF(SUBTOTAL(109,N222)&gt;0,SUBTOTAL(109,N222),
))))))))))))),1,0)</f>
        <v>1</v>
      </c>
      <c r="G238" s="973" t="e">
        <f ca="1">_xlfn.AGGREGATE(9,5,$D$139:D238)</f>
        <v>#NAME?</v>
      </c>
      <c r="H238" s="973" t="e">
        <f ca="1">_xlfn.AGGREGATE(9,5,$E$139:E238)</f>
        <v>#NAME?</v>
      </c>
      <c r="I238" s="973" t="e">
        <f ca="1">_xlfn.AGGREGATE(9,5,$F$139:F238)</f>
        <v>#NAME?</v>
      </c>
      <c r="J238" s="953" t="str">
        <f>IF(SUM(Расходы_4[[#This Row],[2 025]:[2 027]])=0,"000",".")</f>
        <v>000</v>
      </c>
      <c r="K238" s="969">
        <v>4</v>
      </c>
      <c r="L238" s="909">
        <v>853</v>
      </c>
      <c r="M238" s="909">
        <v>16561</v>
      </c>
      <c r="N238" s="909">
        <v>296</v>
      </c>
      <c r="O238" s="1342"/>
      <c r="P238" s="1383"/>
      <c r="Q238" s="1355"/>
      <c r="R238" s="1387" t="s">
        <v>261</v>
      </c>
      <c r="S238" s="1128"/>
      <c r="Y238" s="959"/>
      <c r="Z238" s="959"/>
      <c r="AA238" s="960"/>
      <c r="AF238" s="50">
        <v>1</v>
      </c>
    </row>
    <row r="239" spans="1:32" s="51" customFormat="1" ht="20.25" customHeight="1" thickBot="1">
      <c r="J239" s="956"/>
      <c r="K239" s="912"/>
      <c r="L239" s="397"/>
      <c r="M239" s="397"/>
      <c r="N239" s="403"/>
      <c r="O239" s="910"/>
      <c r="P239" s="910"/>
      <c r="Q239" s="910"/>
      <c r="R239" s="911"/>
      <c r="S239" s="1128"/>
      <c r="Y239" s="959"/>
      <c r="Z239" s="959"/>
      <c r="AA239" s="960"/>
      <c r="AF239" s="50">
        <v>1</v>
      </c>
    </row>
    <row r="240" spans="1:32" s="51" customFormat="1" ht="20.25" customHeight="1" thickBot="1">
      <c r="A240" s="780"/>
      <c r="J240" s="956"/>
      <c r="K240" s="912"/>
      <c r="L240" s="397"/>
      <c r="M240" s="397"/>
      <c r="N240" s="403"/>
      <c r="O240" s="1393">
        <f>SUM(O139:O238)</f>
        <v>179475754.31</v>
      </c>
      <c r="P240" s="1394">
        <f t="shared" ref="P240:Q240" si="10">SUM(P139:P238)</f>
        <v>179704807</v>
      </c>
      <c r="Q240" s="1395">
        <f t="shared" si="10"/>
        <v>179658507</v>
      </c>
      <c r="R240" s="911"/>
      <c r="S240" s="1128"/>
      <c r="Y240" s="959"/>
      <c r="Z240" s="959"/>
      <c r="AA240" s="960"/>
      <c r="AF240" s="50">
        <v>1</v>
      </c>
    </row>
    <row r="241" spans="1:32" s="51" customFormat="1" ht="21" customHeight="1">
      <c r="A241" s="780"/>
      <c r="J241" s="956"/>
      <c r="K241" s="912"/>
      <c r="L241" s="397"/>
      <c r="M241" s="397"/>
      <c r="N241" s="403"/>
      <c r="O241" s="1392">
        <f>O46-O240</f>
        <v>-1435519.6599999964</v>
      </c>
      <c r="P241" s="1392">
        <f t="shared" ref="P241:Q241" si="11">P46-P240</f>
        <v>0</v>
      </c>
      <c r="Q241" s="1392">
        <f t="shared" si="11"/>
        <v>0</v>
      </c>
      <c r="R241" s="911"/>
      <c r="S241" s="1128"/>
      <c r="Y241" s="780"/>
      <c r="Z241" s="959"/>
      <c r="AA241" s="960"/>
      <c r="AF241" s="50">
        <v>1</v>
      </c>
    </row>
    <row r="242" spans="1:32" ht="21" customHeight="1">
      <c r="A242" s="780"/>
      <c r="B242" s="51"/>
      <c r="C242" s="51"/>
      <c r="D242" s="51"/>
      <c r="E242" s="51"/>
      <c r="F242" s="51"/>
      <c r="G242" s="51"/>
      <c r="H242" s="51"/>
      <c r="I242" s="51"/>
      <c r="J242" s="956"/>
      <c r="K242" s="912"/>
      <c r="L242" s="397"/>
      <c r="M242" s="397"/>
      <c r="N242" s="403"/>
      <c r="O242" s="910"/>
      <c r="P242" s="910"/>
      <c r="Q242" s="910"/>
      <c r="R242" s="911"/>
      <c r="S242" s="1128"/>
      <c r="Y242" s="959"/>
      <c r="Z242" s="959"/>
      <c r="AA242" s="959"/>
      <c r="AB242" s="959"/>
      <c r="AF242" s="50">
        <v>1</v>
      </c>
    </row>
    <row r="243" spans="1:32" ht="20.25" hidden="1" customHeight="1">
      <c r="A243" s="780"/>
      <c r="B243" s="51"/>
      <c r="C243" s="51"/>
      <c r="D243" s="51"/>
      <c r="E243" s="51"/>
      <c r="F243" s="51"/>
      <c r="G243" s="51"/>
      <c r="H243" s="51"/>
      <c r="I243" s="51"/>
      <c r="J243" s="956"/>
      <c r="K243" s="912"/>
      <c r="L243" s="397"/>
      <c r="M243" s="397"/>
      <c r="N243" s="403"/>
      <c r="O243" s="910"/>
      <c r="P243" s="910"/>
      <c r="Q243" s="910"/>
      <c r="R243" s="911"/>
      <c r="S243" s="1128"/>
      <c r="Y243" s="959"/>
      <c r="Z243" s="959"/>
      <c r="AA243" s="959"/>
      <c r="AF243" s="50">
        <v>1</v>
      </c>
    </row>
    <row r="244" spans="1:32" ht="20.25" hidden="1" customHeight="1">
      <c r="A244" s="780"/>
      <c r="B244" s="51"/>
      <c r="C244" s="51"/>
      <c r="D244" s="51"/>
      <c r="E244" s="51"/>
      <c r="F244" s="51"/>
      <c r="G244" s="51"/>
      <c r="H244" s="51"/>
      <c r="I244" s="51"/>
      <c r="J244" s="956"/>
      <c r="K244" s="912"/>
      <c r="L244" s="397"/>
      <c r="M244" s="397"/>
      <c r="N244" s="403"/>
      <c r="O244" s="910"/>
      <c r="P244" s="910"/>
      <c r="Q244" s="910"/>
      <c r="R244" s="911"/>
      <c r="S244" s="1128"/>
      <c r="Y244" s="959"/>
      <c r="Z244" s="959"/>
      <c r="AA244" s="959"/>
      <c r="AB244" s="963"/>
      <c r="AF244" s="50">
        <v>1</v>
      </c>
    </row>
    <row r="245" spans="1:32" ht="20.25" hidden="1" customHeight="1">
      <c r="A245" s="780"/>
      <c r="B245" s="51"/>
      <c r="C245" s="51"/>
      <c r="D245" s="51"/>
      <c r="E245" s="51"/>
      <c r="F245" s="51"/>
      <c r="G245" s="51"/>
      <c r="H245" s="51"/>
      <c r="I245" s="51"/>
      <c r="J245" s="956"/>
      <c r="K245" s="912"/>
      <c r="L245" s="397"/>
      <c r="M245" s="397"/>
      <c r="N245" s="403"/>
      <c r="O245" s="910"/>
      <c r="P245" s="910"/>
      <c r="Q245" s="910"/>
      <c r="R245" s="911"/>
      <c r="S245" s="1128"/>
      <c r="Y245" s="959"/>
      <c r="Z245" s="959"/>
      <c r="AA245" s="959"/>
      <c r="AB245" s="963"/>
      <c r="AF245" s="50">
        <v>1</v>
      </c>
    </row>
    <row r="246" spans="1:32" ht="20.25" hidden="1" customHeight="1">
      <c r="A246" s="780"/>
      <c r="B246" s="51"/>
      <c r="C246" s="51"/>
      <c r="D246" s="51"/>
      <c r="E246" s="51"/>
      <c r="F246" s="51"/>
      <c r="G246" s="51"/>
      <c r="H246" s="51"/>
      <c r="I246" s="51"/>
      <c r="J246" s="956"/>
      <c r="K246" s="912"/>
      <c r="L246" s="397"/>
      <c r="M246" s="397"/>
      <c r="N246" s="403"/>
      <c r="O246" s="910"/>
      <c r="P246" s="910"/>
      <c r="Q246" s="910"/>
      <c r="R246" s="911"/>
      <c r="S246" s="1128"/>
      <c r="T246" s="780"/>
      <c r="Y246" s="959"/>
      <c r="Z246" s="959"/>
      <c r="AA246" s="959"/>
      <c r="AB246" s="963"/>
      <c r="AF246" s="50">
        <v>1</v>
      </c>
    </row>
    <row r="247" spans="1:32" ht="20.25" hidden="1" customHeight="1">
      <c r="A247" s="780"/>
      <c r="B247" s="51"/>
      <c r="C247" s="51"/>
      <c r="D247" s="51"/>
      <c r="E247" s="51"/>
      <c r="F247" s="51"/>
      <c r="G247" s="51"/>
      <c r="H247" s="51"/>
      <c r="I247" s="51"/>
      <c r="J247" s="956"/>
      <c r="K247" s="912"/>
      <c r="L247" s="397"/>
      <c r="M247" s="397"/>
      <c r="N247" s="403"/>
      <c r="O247" s="910"/>
      <c r="P247" s="910"/>
      <c r="Q247" s="910"/>
      <c r="R247" s="911"/>
      <c r="S247" s="1128"/>
      <c r="T247" s="1151"/>
      <c r="Y247" s="959"/>
      <c r="Z247" s="959"/>
      <c r="AA247" s="959"/>
      <c r="AB247" s="963"/>
      <c r="AF247" s="50">
        <v>1</v>
      </c>
    </row>
    <row r="248" spans="1:32" ht="20.25" hidden="1" customHeight="1">
      <c r="A248" s="780"/>
      <c r="B248" s="51"/>
      <c r="C248" s="51"/>
      <c r="D248" s="51"/>
      <c r="E248" s="51"/>
      <c r="F248" s="51"/>
      <c r="G248" s="51"/>
      <c r="H248" s="51"/>
      <c r="I248" s="51"/>
      <c r="J248" s="956"/>
      <c r="K248" s="912"/>
      <c r="L248" s="397"/>
      <c r="M248" s="397"/>
      <c r="N248" s="403"/>
      <c r="O248" s="910"/>
      <c r="P248" s="910"/>
      <c r="Q248" s="910"/>
      <c r="R248" s="911"/>
      <c r="S248" s="1128"/>
      <c r="T248" s="1151"/>
      <c r="Y248" s="959"/>
      <c r="Z248" s="959"/>
      <c r="AA248" s="959"/>
      <c r="AB248" s="963"/>
      <c r="AE248" s="50">
        <f>COUNT(102,$AF$248:AF248)-1</f>
        <v>1</v>
      </c>
      <c r="AF248" s="50">
        <v>1</v>
      </c>
    </row>
    <row r="249" spans="1:32" ht="20.25" customHeight="1">
      <c r="A249" s="780"/>
      <c r="B249" s="51"/>
      <c r="C249" s="51"/>
      <c r="D249" s="51"/>
      <c r="E249" s="51"/>
      <c r="F249" s="51"/>
      <c r="G249" s="51"/>
      <c r="H249" s="51"/>
      <c r="I249" s="51"/>
      <c r="J249" s="956"/>
      <c r="K249" s="912"/>
      <c r="L249" s="397"/>
      <c r="M249" s="397"/>
      <c r="N249" s="403"/>
      <c r="O249" s="910"/>
      <c r="P249" s="910"/>
      <c r="Q249" s="910"/>
      <c r="R249" s="911"/>
      <c r="S249" s="1128"/>
      <c r="T249" s="1151"/>
      <c r="Y249" s="959"/>
      <c r="Z249" s="959"/>
      <c r="AA249" s="959"/>
      <c r="AB249" s="963"/>
      <c r="AE249" s="50">
        <f>COUNT(102,$AF$248:AF249)-1</f>
        <v>2</v>
      </c>
      <c r="AF249" s="50">
        <v>1</v>
      </c>
    </row>
    <row r="250" spans="1:32" ht="20.25" customHeight="1">
      <c r="A250" s="780"/>
      <c r="B250" s="51"/>
      <c r="C250" s="51"/>
      <c r="D250" s="51"/>
      <c r="E250" s="51"/>
      <c r="F250" s="51"/>
      <c r="G250" s="51"/>
      <c r="H250" s="51"/>
      <c r="I250" s="51"/>
      <c r="J250" s="956"/>
      <c r="K250" s="912"/>
      <c r="L250" s="397"/>
      <c r="M250" s="397"/>
      <c r="N250" s="403"/>
      <c r="O250" s="910"/>
      <c r="P250" s="910"/>
      <c r="Q250" s="910"/>
      <c r="R250" s="911"/>
      <c r="S250" s="1128"/>
      <c r="T250" s="1151"/>
      <c r="Y250" s="959"/>
      <c r="Z250" s="959"/>
      <c r="AA250" s="959"/>
      <c r="AB250" s="963"/>
      <c r="AE250" s="50">
        <f>COUNT(102,$AF$248:AF250)-1</f>
        <v>3</v>
      </c>
      <c r="AF250" s="50">
        <v>1</v>
      </c>
    </row>
    <row r="251" spans="1:32" ht="20.25" hidden="1" customHeight="1">
      <c r="A251" s="780"/>
      <c r="B251" s="51"/>
      <c r="C251" s="51"/>
      <c r="D251" s="51"/>
      <c r="E251" s="51"/>
      <c r="F251" s="51"/>
      <c r="G251" s="51"/>
      <c r="H251" s="51"/>
      <c r="I251" s="51"/>
      <c r="J251" s="956"/>
      <c r="K251" s="912"/>
      <c r="L251" s="397"/>
      <c r="M251" s="397"/>
      <c r="N251" s="403"/>
      <c r="O251" s="910"/>
      <c r="P251" s="910"/>
      <c r="Q251" s="910"/>
      <c r="R251" s="911"/>
      <c r="S251" s="1128"/>
      <c r="T251" s="1151"/>
      <c r="Y251" s="959"/>
      <c r="Z251" s="959"/>
      <c r="AA251" s="959"/>
      <c r="AB251" s="963"/>
      <c r="AE251" s="50">
        <f>COUNT(102,$AF$248:AF251)-1</f>
        <v>4</v>
      </c>
      <c r="AF251" s="50">
        <v>1</v>
      </c>
    </row>
    <row r="252" spans="1:32" ht="20.25" hidden="1" customHeight="1">
      <c r="A252" s="780"/>
      <c r="B252" s="51"/>
      <c r="C252" s="51"/>
      <c r="D252" s="51"/>
      <c r="E252" s="51"/>
      <c r="F252" s="51"/>
      <c r="G252" s="51"/>
      <c r="H252" s="51"/>
      <c r="I252" s="51"/>
      <c r="J252" s="956"/>
      <c r="K252" s="912"/>
      <c r="L252" s="397"/>
      <c r="M252" s="397"/>
      <c r="N252" s="403"/>
      <c r="O252" s="910"/>
      <c r="P252" s="910"/>
      <c r="Q252" s="910"/>
      <c r="R252" s="911"/>
      <c r="S252" s="1128"/>
      <c r="T252" s="1152"/>
      <c r="Y252" s="959"/>
      <c r="Z252" s="959"/>
      <c r="AA252" s="959"/>
      <c r="AB252" s="963"/>
      <c r="AE252" s="50">
        <f>COUNT(102,$AF$248:AF252)-1</f>
        <v>5</v>
      </c>
      <c r="AF252" s="50">
        <v>1</v>
      </c>
    </row>
    <row r="253" spans="1:32" ht="20.25" hidden="1" customHeight="1">
      <c r="A253" s="780"/>
      <c r="B253" s="51"/>
      <c r="C253" s="51"/>
      <c r="D253" s="51"/>
      <c r="E253" s="51"/>
      <c r="F253" s="51"/>
      <c r="G253" s="51"/>
      <c r="H253" s="51"/>
      <c r="I253" s="51"/>
      <c r="J253" s="956"/>
      <c r="K253" s="912"/>
      <c r="L253" s="397"/>
      <c r="M253" s="397"/>
      <c r="N253" s="403"/>
      <c r="O253" s="910"/>
      <c r="P253" s="910"/>
      <c r="Q253" s="910"/>
      <c r="R253" s="911"/>
      <c r="S253" s="1128"/>
      <c r="T253" s="1151"/>
      <c r="Y253" s="959"/>
      <c r="Z253" s="959"/>
      <c r="AA253" s="959"/>
      <c r="AB253" s="963"/>
      <c r="AE253" s="50">
        <f>COUNT(102,$AF$248:AF253)-1</f>
        <v>6</v>
      </c>
      <c r="AF253" s="50">
        <v>1</v>
      </c>
    </row>
    <row r="254" spans="1:32" ht="20.25" hidden="1" customHeight="1">
      <c r="A254" s="780"/>
      <c r="B254" s="51"/>
      <c r="C254" s="51"/>
      <c r="D254" s="51"/>
      <c r="E254" s="51"/>
      <c r="F254" s="51"/>
      <c r="G254" s="51"/>
      <c r="H254" s="51"/>
      <c r="I254" s="51"/>
      <c r="J254" s="956"/>
      <c r="K254" s="912"/>
      <c r="L254" s="397"/>
      <c r="M254" s="397"/>
      <c r="N254" s="403"/>
      <c r="O254" s="910"/>
      <c r="P254" s="910"/>
      <c r="Q254" s="910"/>
      <c r="R254" s="911"/>
      <c r="S254" s="1128"/>
      <c r="T254" s="1151"/>
      <c r="Y254" s="959"/>
      <c r="Z254" s="959"/>
      <c r="AA254" s="959"/>
      <c r="AB254" s="963"/>
      <c r="AE254" s="50">
        <f>COUNT(102,$AF$248:AF254)-1</f>
        <v>7</v>
      </c>
      <c r="AF254" s="50">
        <v>1</v>
      </c>
    </row>
    <row r="255" spans="1:32" ht="20.25" customHeight="1" thickBot="1">
      <c r="A255" s="780"/>
      <c r="B255" s="51"/>
      <c r="C255" s="51"/>
      <c r="D255" s="51"/>
      <c r="E255" s="51"/>
      <c r="F255" s="51"/>
      <c r="G255" s="51"/>
      <c r="H255" s="51"/>
      <c r="I255" s="51"/>
      <c r="J255" s="956"/>
      <c r="K255" s="912"/>
      <c r="L255" s="397"/>
      <c r="M255" s="397"/>
      <c r="N255" s="403"/>
      <c r="O255" s="910"/>
      <c r="P255" s="910"/>
      <c r="Q255" s="910"/>
      <c r="R255" s="911"/>
      <c r="S255" s="1128"/>
      <c r="T255" s="1151"/>
      <c r="Y255" s="959"/>
      <c r="Z255" s="959"/>
      <c r="AA255" s="959"/>
      <c r="AB255" s="963"/>
      <c r="AE255" s="50">
        <f>COUNT(102,$AF$248:AF255)-1</f>
        <v>8</v>
      </c>
      <c r="AF255" s="50">
        <v>1</v>
      </c>
    </row>
    <row r="256" spans="1:32" ht="25.5" customHeight="1" thickBot="1">
      <c r="A256" s="780"/>
      <c r="B256" s="51"/>
      <c r="C256" s="51"/>
      <c r="D256" s="51"/>
      <c r="E256" s="51"/>
      <c r="F256" s="51"/>
      <c r="G256" s="51"/>
      <c r="H256" s="51"/>
      <c r="I256" s="51"/>
      <c r="J256" s="956"/>
      <c r="K256" s="912"/>
      <c r="L256" s="397"/>
      <c r="M256" s="397"/>
      <c r="N256" s="403"/>
      <c r="O256" s="1396">
        <v>5</v>
      </c>
      <c r="P256" s="910"/>
      <c r="Q256" s="910"/>
      <c r="R256" s="911"/>
      <c r="S256" s="1128"/>
      <c r="T256" s="1151"/>
      <c r="Y256" s="959"/>
      <c r="Z256" s="959"/>
      <c r="AA256" s="959"/>
      <c r="AB256" s="963"/>
      <c r="AE256" s="50">
        <f>COUNT(102,$AF$248:AF256)-1</f>
        <v>9</v>
      </c>
      <c r="AF256" s="50">
        <v>1</v>
      </c>
    </row>
    <row r="257" spans="1:32" ht="20.25" customHeight="1">
      <c r="A257" s="780" t="e">
        <f ca="1">IF(SUM(A259:C259)=0,0,
IF(MATCH(1,A259:C259,0)=1,A258,
IF(MATCH(1,A259:C259,0)=2,B258,
IF(MATCH(1,A259:C259,0)=3,C258))))</f>
        <v>#NAME?</v>
      </c>
      <c r="B257" s="51"/>
      <c r="C257" s="51"/>
      <c r="D257" s="51"/>
      <c r="E257" s="51"/>
      <c r="F257" s="51"/>
      <c r="G257" s="51"/>
      <c r="H257" s="51"/>
      <c r="I257" s="51"/>
      <c r="J257" s="956"/>
      <c r="K257" s="912"/>
      <c r="L257" s="397"/>
      <c r="M257" s="397"/>
      <c r="N257" s="403"/>
      <c r="O257" s="910"/>
      <c r="P257" s="910"/>
      <c r="Q257" s="910"/>
      <c r="R257" s="911"/>
      <c r="S257" s="1128"/>
      <c r="T257" s="1151"/>
      <c r="Y257" s="959"/>
      <c r="Z257" s="959"/>
      <c r="AA257" s="959"/>
      <c r="AB257" s="963"/>
      <c r="AE257" s="50">
        <f>COUNT(102,$AF$248:AF257)-1</f>
        <v>10</v>
      </c>
      <c r="AF257" s="50">
        <v>1</v>
      </c>
    </row>
    <row r="258" spans="1:32" ht="20.25" customHeight="1">
      <c r="A258" s="959" t="s">
        <v>902</v>
      </c>
      <c r="B258" s="959" t="s">
        <v>898</v>
      </c>
      <c r="C258" s="959" t="s">
        <v>899</v>
      </c>
      <c r="D258" s="959" t="s">
        <v>902</v>
      </c>
      <c r="E258" s="959" t="s">
        <v>898</v>
      </c>
      <c r="F258" s="959" t="s">
        <v>899</v>
      </c>
      <c r="G258" s="959" t="s">
        <v>902</v>
      </c>
      <c r="H258" s="959" t="s">
        <v>898</v>
      </c>
      <c r="I258" s="959" t="s">
        <v>899</v>
      </c>
      <c r="J258" s="956"/>
      <c r="K258" s="912"/>
      <c r="L258" s="397"/>
      <c r="M258" s="397"/>
      <c r="N258" s="403"/>
      <c r="O258" s="910"/>
      <c r="P258" s="910"/>
      <c r="Q258" s="910"/>
      <c r="R258" s="911"/>
      <c r="S258" s="1128"/>
      <c r="T258" s="1151"/>
      <c r="Y258" s="959"/>
      <c r="Z258" s="959"/>
      <c r="AA258" s="959"/>
      <c r="AB258" s="963"/>
      <c r="AE258" s="50">
        <f>COUNT(102,$AF$248:AF258)-1</f>
        <v>11</v>
      </c>
      <c r="AF258" s="50">
        <v>1</v>
      </c>
    </row>
    <row r="259" spans="1:32" ht="20.25" customHeight="1">
      <c r="A259" s="978" t="e">
        <f ca="1">IF(OR(
_xlfn.AGGREGATE(1,5,A261:A292)=1,
_xlfn.AGGREGATE(1,5,A261:A292)=0),1,0)</f>
        <v>#NAME?</v>
      </c>
      <c r="B259" s="976" t="e">
        <f ca="1">IF(OR(
_xlfn.AGGREGATE(1,5,B261:B292)=1,
_xlfn.AGGREGATE(1,5,B261:B292)=0),1,0)</f>
        <v>#NAME?</v>
      </c>
      <c r="C259" s="976" t="e">
        <f ca="1">IF(OR(
_xlfn.AGGREGATE(1,5,C261:C292)=1,
_xlfn.AGGREGATE(1,5,C261:C292)=0),1,0)</f>
        <v>#NAME?</v>
      </c>
      <c r="D259" s="976"/>
      <c r="E259" s="976"/>
      <c r="F259" s="976"/>
      <c r="G259" s="975"/>
      <c r="H259" s="975"/>
      <c r="I259" s="975"/>
      <c r="J259" s="1478" t="s">
        <v>912</v>
      </c>
      <c r="K259" s="1479"/>
      <c r="L259" s="1479"/>
      <c r="M259" s="1479"/>
      <c r="N259" s="1479"/>
      <c r="O259" s="1479"/>
      <c r="P259" s="1479"/>
      <c r="Q259" s="1479"/>
      <c r="R259" s="1480"/>
      <c r="S259" s="1128"/>
      <c r="T259" s="1151"/>
      <c r="Y259" s="959"/>
      <c r="Z259" s="959"/>
      <c r="AA259" s="959"/>
      <c r="AB259" s="963"/>
      <c r="AE259" s="50">
        <f>COUNT(102,$AF$248:AF259)-1</f>
        <v>12</v>
      </c>
      <c r="AF259" s="50">
        <v>1</v>
      </c>
    </row>
    <row r="260" spans="1:32" ht="20.25" customHeight="1" thickBot="1">
      <c r="A260" s="974" t="s">
        <v>6</v>
      </c>
      <c r="B260" s="974" t="s">
        <v>7</v>
      </c>
      <c r="C260" s="974" t="s">
        <v>8</v>
      </c>
      <c r="D260" s="974" t="s">
        <v>917</v>
      </c>
      <c r="E260" s="974" t="s">
        <v>918</v>
      </c>
      <c r="F260" s="974" t="s">
        <v>919</v>
      </c>
      <c r="G260" s="974" t="s">
        <v>9</v>
      </c>
      <c r="H260" s="974" t="s">
        <v>10</v>
      </c>
      <c r="I260" s="974" t="s">
        <v>417</v>
      </c>
      <c r="J260" s="943" t="s">
        <v>929</v>
      </c>
      <c r="K260" s="944" t="s">
        <v>897</v>
      </c>
      <c r="L260" s="1401" t="s">
        <v>902</v>
      </c>
      <c r="M260" s="1401" t="s">
        <v>898</v>
      </c>
      <c r="N260" s="1401" t="s">
        <v>899</v>
      </c>
      <c r="O260" s="1402" t="s">
        <v>901</v>
      </c>
      <c r="P260" s="945" t="s">
        <v>1092</v>
      </c>
      <c r="Q260" s="945" t="s">
        <v>1110</v>
      </c>
      <c r="R260" s="947" t="s">
        <v>900</v>
      </c>
      <c r="S260" s="1128"/>
      <c r="T260" s="1151"/>
      <c r="Y260" s="959"/>
      <c r="Z260" s="959"/>
      <c r="AA260" s="959"/>
      <c r="AB260" s="963"/>
      <c r="AE260" s="50">
        <f>COUNT(102,$AF$248:AF260)-1</f>
        <v>13</v>
      </c>
      <c r="AF260" s="50">
        <v>1</v>
      </c>
    </row>
    <row r="261" spans="1:32" ht="20.25" customHeight="1" thickBot="1">
      <c r="A261" s="988">
        <f>IF(Расходы_5[[#This Row],[КВР]]&gt;=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IF(SUBTOTAL(109,L248)&gt;0,SUBTOTAL(109,L248),
IF(SUBTOTAL(109,L247)&gt;0,SUBTOTAL(109,L247),
IF(SUBTOTAL(109,L246)&gt;0,SUBTOTAL(109,L246),
IF(SUBTOTAL(109,L245)&gt;0,SUBTOTAL(109,L245),
)))))))))))))))),1,0)</f>
        <v>1</v>
      </c>
      <c r="B261" s="989">
        <f>IF(Расходы_5[[#This Row],[КЦ]]&gt;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IF(SUBTOTAL(109,M248)&gt;0,SUBTOTAL(109,M248),
IF(SUBTOTAL(109,M247)&gt;0,SUBTOTAL(109,M247),
IF(SUBTOTAL(109,M246)&gt;0,SUBTOTAL(109,M246),
IF(SUBTOTAL(109,M245)&gt;0,SUBTOTAL(109,M245),
)))))))))))))))),1,0)</f>
        <v>0</v>
      </c>
      <c r="C261" s="989">
        <f>IF(Расходы_5[[#This Row],[КОСГУ]]&gt;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IF(SUBTOTAL(109,N251)&gt;0,SUBTOTAL(109,N251),
IF(SUBTOTAL(109,N250)&gt;0,SUBTOTAL(109,N250),
IF(SUBTOTAL(109,N249)&gt;0,SUBTOTAL(109,N249),
IF(SUBTOTAL(109,N248)&gt;0,SUBTOTAL(109,N248),
IF(SUBTOTAL(109,N247)&gt;0,SUBTOTAL(109,N247),
IF(SUBTOTAL(109,N246)&gt;0,SUBTOTAL(109,N246),
IF(SUBTOTAL(109,N245)&gt;0,SUBTOTAL(109,N245),
)))))))))))))))),1,0)</f>
        <v>1</v>
      </c>
      <c r="D261" s="989">
        <f>IF(Расходы_5[[#This Row],[КВР]]&gt;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IF(SUBTOTAL(109,L248)&gt;0,SUBTOTAL(109,L248),
IF(SUBTOTAL(109,L247)&gt;0,SUBTOTAL(109,L247),
IF(SUBTOTAL(109,L246)&gt;0,SUBTOTAL(109,L246),
IF(SUBTOTAL(109,L245)&gt;0,SUBTOTAL(109,L245),
)))))))))))))))),1,0)</f>
        <v>1</v>
      </c>
      <c r="E261" s="989">
        <f>IF(Расходы_5[[#This Row],[КЦ]]&gt;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IF(SUBTOTAL(109,M248)&gt;0,SUBTOTAL(109,M248),
IF(SUBTOTAL(109,M247)&gt;0,SUBTOTAL(109,M247),
IF(SUBTOTAL(109,M246)&gt;0,SUBTOTAL(109,M246),
IF(SUBTOTAL(109,M245)&gt;0,SUBTOTAL(109,M245),
)))))))))))))))),1,0)</f>
        <v>0</v>
      </c>
      <c r="F261" s="989">
        <f>IF(Расходы_5[[#This Row],[КОСГУ]]&gt;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IF(SUBTOTAL(109,N251)&gt;0,SUBTOTAL(109,N251),
IF(SUBTOTAL(109,N250)&gt;0,SUBTOTAL(109,N250),
IF(SUBTOTAL(109,N249)&gt;0,SUBTOTAL(109,N249),
IF(SUBTOTAL(109,N248)&gt;0,SUBTOTAL(109,N248),
IF(SUBTOTAL(109,N247)&gt;0,SUBTOTAL(109,N247),
IF(SUBTOTAL(109,N246)&gt;0,SUBTOTAL(109,N246),
IF(SUBTOTAL(109,N245)&gt;0,SUBTOTAL(109,N245),
)))))))))))))))),1,0)</f>
        <v>1</v>
      </c>
      <c r="G261" s="989" t="e">
        <f ca="1">_xlfn.AGGREGATE(9,5,$D$261:D261)</f>
        <v>#NAME?</v>
      </c>
      <c r="H261" s="989" t="e">
        <f ca="1">_xlfn.AGGREGATE(9,5,$E$261:E261)</f>
        <v>#NAME?</v>
      </c>
      <c r="I261" s="989" t="e">
        <f ca="1">_xlfn.AGGREGATE(9,5,$F$261:F261)</f>
        <v>#NAME?</v>
      </c>
      <c r="J261" s="970" t="str">
        <f>IF(SUM(Расходы_5[[#This Row],[2 025]:[2 027]])=0,"000",".")</f>
        <v>.</v>
      </c>
      <c r="K261" s="1335">
        <v>5</v>
      </c>
      <c r="L261" s="1301">
        <v>111</v>
      </c>
      <c r="M261" s="1272"/>
      <c r="N261" s="1272">
        <v>211</v>
      </c>
      <c r="O261" s="1292">
        <f>312750+120000+50008.59+210328.94+249011.97-16941.32</f>
        <v>925158.18</v>
      </c>
      <c r="P261" s="1292">
        <f t="shared" ref="P261:Q261" si="12">312750+120000</f>
        <v>432750</v>
      </c>
      <c r="Q261" s="1292">
        <f t="shared" si="12"/>
        <v>432750</v>
      </c>
      <c r="R261" s="1238" t="s">
        <v>278</v>
      </c>
      <c r="S261" s="1128"/>
      <c r="T261" s="1151"/>
      <c r="Y261" s="959"/>
      <c r="Z261" s="959"/>
      <c r="AA261" s="959"/>
      <c r="AB261" s="963"/>
      <c r="AE261" s="50">
        <f>COUNT(102,$AF$248:AF261)-1</f>
        <v>14</v>
      </c>
      <c r="AF261" s="50">
        <v>1</v>
      </c>
    </row>
    <row r="262" spans="1:32" ht="20.25" customHeight="1" thickBot="1">
      <c r="A262" s="988">
        <f>IF(Расходы_5[[#This Row],[КВР]]&gt;=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IF(SUBTOTAL(109,L248)&gt;0,SUBTOTAL(109,L248),
IF(SUBTOTAL(109,L247)&gt;0,SUBTOTAL(109,L247),
IF(SUBTOTAL(109,L246)&gt;0,SUBTOTAL(109,L246),
)))))))))))))))),1,0)</f>
        <v>1</v>
      </c>
      <c r="B262" s="989">
        <f>IF(Расходы_5[[#This Row],[КЦ]]&gt;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IF(SUBTOTAL(109,M248)&gt;0,SUBTOTAL(109,M248),
IF(SUBTOTAL(109,M247)&gt;0,SUBTOTAL(109,M247),
IF(SUBTOTAL(109,M246)&gt;0,SUBTOTAL(109,M246),
)))))))))))))))),1,0)</f>
        <v>1</v>
      </c>
      <c r="C262" s="989">
        <f>IF(Расходы_5[[#This Row],[КОСГУ]]&gt;
IF(SUBTOTAL(109,N261)&gt;0,SUBTOTAL(109,N261),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IF(SUBTOTAL(109,N251)&gt;0,SUBTOTAL(109,N251),
IF(SUBTOTAL(109,N250)&gt;0,SUBTOTAL(109,N250),
IF(SUBTOTAL(109,N249)&gt;0,SUBTOTAL(109,N249),
IF(SUBTOTAL(109,N248)&gt;0,SUBTOTAL(109,N248),
IF(SUBTOTAL(109,N247)&gt;0,SUBTOTAL(109,N247),
IF(SUBTOTAL(109,N246)&gt;0,SUBTOTAL(109,N246),
)))))))))))))))),1,0)</f>
        <v>1</v>
      </c>
      <c r="D262" s="989">
        <f>IF(Расходы_5[[#This Row],[КВР]]&gt;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IF(SUBTOTAL(109,L248)&gt;0,SUBTOTAL(109,L248),
IF(SUBTOTAL(109,L247)&gt;0,SUBTOTAL(109,L247),
IF(SUBTOTAL(109,L246)&gt;0,SUBTOTAL(109,L246),
)))))))))))))))),1,0)</f>
        <v>1</v>
      </c>
      <c r="E262" s="989">
        <f>IF(Расходы_5[[#This Row],[КЦ]]&gt;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IF(SUBTOTAL(109,M248)&gt;0,SUBTOTAL(109,M248),
IF(SUBTOTAL(109,M247)&gt;0,SUBTOTAL(109,M247),
IF(SUBTOTAL(109,M246)&gt;0,SUBTOTAL(109,M246),
)))))))))))))))),1,0)</f>
        <v>1</v>
      </c>
      <c r="F262" s="989">
        <f>IF(Расходы_5[[#This Row],[КОСГУ]]&gt;
IF(SUBTOTAL(109,N261)&gt;0,SUBTOTAL(109,N261),
IF(SUBTOTAL(109,N260)&gt;0,SUBTOTAL(109,N260),
IF(SUBTOTAL(109,N259)&gt;0,SUBTOTAL(109,N259),
IF(SUBTOTAL(109,N258)&gt;0,SUBTOTAL(109,N258),
IF(SUBTOTAL(109,N239)&gt;0,SUBTOTAL(109,N239),
IF(SUBTOTAL(109,N238)&gt;0,SUBTOTAL(109,N238))))))),1,0)</f>
        <v>1</v>
      </c>
      <c r="G262" s="989" t="e">
        <f ca="1">_xlfn.AGGREGATE(9,5,$D$261:D262)</f>
        <v>#NAME?</v>
      </c>
      <c r="H262" s="989" t="e">
        <f ca="1">_xlfn.AGGREGATE(9,5,$E$261:E262)</f>
        <v>#NAME?</v>
      </c>
      <c r="I262" s="989" t="e">
        <f ca="1">_xlfn.AGGREGATE(9,5,$F$261:F262)</f>
        <v>#NAME?</v>
      </c>
      <c r="J262" s="970" t="str">
        <f>IF(SUM(Расходы_5[[#This Row],[2 025]:[2 027]])=0,"000",".")</f>
        <v>000</v>
      </c>
      <c r="K262" s="965">
        <v>5</v>
      </c>
      <c r="L262" s="1403">
        <v>112</v>
      </c>
      <c r="M262" s="1403">
        <v>956130</v>
      </c>
      <c r="N262" s="1403">
        <v>212</v>
      </c>
      <c r="O262" s="1404"/>
      <c r="P262" s="977"/>
      <c r="Q262" s="977"/>
      <c r="R262" s="1238" t="s">
        <v>234</v>
      </c>
      <c r="S262" s="1128"/>
      <c r="T262" s="1151"/>
      <c r="Y262" s="959"/>
      <c r="Z262" s="959"/>
      <c r="AA262" s="959"/>
      <c r="AB262" s="963"/>
      <c r="AE262" s="50">
        <f>COUNT(102,$AF$248:AF262)-1</f>
        <v>15</v>
      </c>
      <c r="AF262" s="50">
        <v>1</v>
      </c>
    </row>
    <row r="263" spans="1:32" ht="20.25" customHeight="1" thickBot="1">
      <c r="A263" s="988">
        <f>IF(Расходы_5[[#This Row],[КВР]]&gt;=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IF(SUBTOTAL(109,L248)&gt;0,SUBTOTAL(109,L248),
IF(SUBTOTAL(109,L247)&gt;0,SUBTOTAL(109,L247),
)))))))))))))))),1,0)</f>
        <v>1</v>
      </c>
      <c r="B263" s="989">
        <f>IF(Расходы_5[[#This Row],[КЦ]]&gt;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IF(SUBTOTAL(109,M248)&gt;0,SUBTOTAL(109,M248),
IF(SUBTOTAL(109,M247)&gt;0,SUBTOTAL(109,M247),
)))))))))))))))),1,0)</f>
        <v>1</v>
      </c>
      <c r="C263" s="989">
        <f>IF(Расходы_5[[#This Row],[КОСГУ]]&gt;
IF(SUBTOTAL(109,N262)&gt;0,SUBTOTAL(109,N262),
IF(SUBTOTAL(109,N261)&gt;0,SUBTOTAL(109,N261),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IF(SUBTOTAL(109,N251)&gt;0,SUBTOTAL(109,N251),
IF(SUBTOTAL(109,N250)&gt;0,SUBTOTAL(109,N250),
IF(SUBTOTAL(109,N249)&gt;0,SUBTOTAL(109,N249),
IF(SUBTOTAL(109,N248)&gt;0,SUBTOTAL(109,N248),
IF(SUBTOTAL(109,N247)&gt;0,SUBTOTAL(109,N247),
)))))))))))))))),1,0)</f>
        <v>0</v>
      </c>
      <c r="D263" s="989">
        <f>IF(Расходы_5[[#This Row],[КВР]]&gt;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IF(SUBTOTAL(109,L248)&gt;0,SUBTOTAL(109,L248),
IF(SUBTOTAL(109,L247)&gt;0,SUBTOTAL(109,L247),
)))))))))))))))),1,0)</f>
        <v>0</v>
      </c>
      <c r="E263" s="989">
        <f>IF(Расходы_5[[#This Row],[КЦ]]&gt;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IF(SUBTOTAL(109,M248)&gt;0,SUBTOTAL(109,M248),
IF(SUBTOTAL(109,M247)&gt;0,SUBTOTAL(109,M247),
)))))))))))))))),1,0)</f>
        <v>1</v>
      </c>
      <c r="F263" s="989">
        <f>IF(Расходы_5[[#This Row],[КОСГУ]]&gt;
IF(SUBTOTAL(109,N262)&gt;0,SUBTOTAL(109,N262),
IF(SUBTOTAL(109,N261)&gt;0,SUBTOTAL(109,N261),
IF(SUBTOTAL(109,N260)&gt;0,SUBTOTAL(109,N260),
IF(SUBTOTAL(109,N259)&gt;0,SUBTOTAL(109,N259),
IF(SUBTOTAL(109,N258)&gt;0,SUBTOTAL(109,N258),
IF(SUBTOTAL(109,N239)&gt;0,SUBTOTAL(109,N239))))))),1,0)</f>
        <v>0</v>
      </c>
      <c r="G263" s="989" t="e">
        <f ca="1">_xlfn.AGGREGATE(9,5,$D$261:D263)</f>
        <v>#NAME?</v>
      </c>
      <c r="H263" s="989" t="e">
        <f ca="1">_xlfn.AGGREGATE(9,5,$E$261:E263)</f>
        <v>#NAME?</v>
      </c>
      <c r="I263" s="989" t="e">
        <f ca="1">_xlfn.AGGREGATE(9,5,$F$261:F263)</f>
        <v>#NAME?</v>
      </c>
      <c r="J263" s="970" t="str">
        <f>IF(SUM(Расходы_5[[#This Row],[2 025]:[2 027]])=0,"000",".")</f>
        <v>.</v>
      </c>
      <c r="K263" s="1335">
        <v>5</v>
      </c>
      <c r="L263" s="1301">
        <v>112</v>
      </c>
      <c r="M263" s="1272">
        <v>956420</v>
      </c>
      <c r="N263" s="1272">
        <v>212</v>
      </c>
      <c r="O263" s="1278">
        <v>166176.85999999999</v>
      </c>
      <c r="P263" s="1278">
        <v>166176.85999999999</v>
      </c>
      <c r="Q263" s="1278">
        <v>166176.85999999999</v>
      </c>
      <c r="R263" s="1386" t="s">
        <v>267</v>
      </c>
      <c r="S263" s="1128"/>
      <c r="T263" s="1151"/>
      <c r="Y263" s="959"/>
      <c r="Z263" s="959"/>
      <c r="AA263" s="959"/>
      <c r="AB263" s="963"/>
      <c r="AE263" s="50">
        <f>COUNT(102,$AF$248:AF263)-1</f>
        <v>16</v>
      </c>
      <c r="AF263" s="50">
        <v>1</v>
      </c>
    </row>
    <row r="264" spans="1:32" ht="20.25" customHeight="1" thickBot="1">
      <c r="A264" s="988">
        <f>IF(Расходы_5[[#This Row],[КВР]]&gt;=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IF(SUBTOTAL(109,L248)&gt;0,SUBTOTAL(109,L248),
)))))))))))))))),1,0)</f>
        <v>1</v>
      </c>
      <c r="B264" s="989">
        <f>IF(Расходы_5[[#This Row],[КЦ]]&gt;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IF(SUBTOTAL(109,M248)&gt;0,SUBTOTAL(109,M248),
)))))))))))))))),1,0)</f>
        <v>1</v>
      </c>
      <c r="C264" s="989">
        <f>IF(Расходы_5[[#This Row],[КОСГУ]]&gt;
IF(SUBTOTAL(109,N263)&gt;0,SUBTOTAL(109,N263),
IF(SUBTOTAL(109,N262)&gt;0,SUBTOTAL(109,N262),
IF(SUBTOTAL(109,N261)&gt;0,SUBTOTAL(109,N261),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IF(SUBTOTAL(109,N251)&gt;0,SUBTOTAL(109,N251),
IF(SUBTOTAL(109,N250)&gt;0,SUBTOTAL(109,N250),
IF(SUBTOTAL(109,N249)&gt;0,SUBTOTAL(109,N249),
IF(SUBTOTAL(109,N248)&gt;0,SUBTOTAL(109,N248),
)))))))))))))))),1,0)</f>
        <v>1</v>
      </c>
      <c r="D264" s="989">
        <f>IF(Расходы_5[[#This Row],[КВР]]&gt;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IF(SUBTOTAL(109,L248)&gt;0,SUBTOTAL(109,L248),
)))))))))))))))),1,0)</f>
        <v>0</v>
      </c>
      <c r="E264" s="989">
        <f>IF(Расходы_5[[#This Row],[КЦ]]&gt;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IF(SUBTOTAL(109,M248)&gt;0,SUBTOTAL(109,M248),
)))))))))))))))),1,0)</f>
        <v>1</v>
      </c>
      <c r="F264" s="989">
        <f>IF(Расходы_5[[#This Row],[КОСГУ]]&gt;
IF(SUBTOTAL(109,N263)&gt;0,SUBTOTAL(109,N263),
IF(SUBTOTAL(109,N262)&gt;0,SUBTOTAL(109,N262),
IF(SUBTOTAL(109,N261)&gt;0,SUBTOTAL(109,N261),
IF(SUBTOTAL(109,N260)&gt;0,SUBTOTAL(109,N260),
IF(SUBTOTAL(109,N259)&gt;0,SUBTOTAL(109,N259),
IF(SUBTOTAL(109,N258)&gt;0,SUBTOTAL(109,N258))))))),1,0)</f>
        <v>1</v>
      </c>
      <c r="G264" s="989" t="e">
        <f ca="1">_xlfn.AGGREGATE(9,5,$D$261:D264)</f>
        <v>#NAME?</v>
      </c>
      <c r="H264" s="989" t="e">
        <f ca="1">_xlfn.AGGREGATE(9,5,$E$261:E264)</f>
        <v>#NAME?</v>
      </c>
      <c r="I264" s="989" t="e">
        <f ca="1">_xlfn.AGGREGATE(9,5,$F$261:F264)</f>
        <v>#NAME?</v>
      </c>
      <c r="J264" s="970" t="str">
        <f>IF(SUM(Расходы_5[[#This Row],[2 025]:[2 027]])=0,"000",".")</f>
        <v>.</v>
      </c>
      <c r="K264" s="1335">
        <v>5</v>
      </c>
      <c r="L264" s="1397">
        <v>112</v>
      </c>
      <c r="M264" s="1398">
        <v>956460</v>
      </c>
      <c r="N264" s="1399">
        <v>214</v>
      </c>
      <c r="O264" s="1400">
        <f>1256429-605500-91406.61+605500</f>
        <v>1165022.3900000001</v>
      </c>
      <c r="P264" s="1400">
        <v>1256429</v>
      </c>
      <c r="Q264" s="1400">
        <v>1256429</v>
      </c>
      <c r="R264" s="1238" t="s">
        <v>268</v>
      </c>
      <c r="S264" s="1128"/>
      <c r="T264" s="1151"/>
      <c r="U264" s="57"/>
      <c r="V264" s="915"/>
      <c r="W264" s="915"/>
      <c r="Y264" s="959"/>
      <c r="Z264" s="959"/>
      <c r="AA264" s="959"/>
      <c r="AB264" s="963"/>
      <c r="AE264" s="50">
        <f>COUNT(102,$AF$248:AF264)-1</f>
        <v>17</v>
      </c>
      <c r="AF264" s="50">
        <v>1</v>
      </c>
    </row>
    <row r="265" spans="1:32" ht="20.25" customHeight="1" thickBot="1">
      <c r="A265" s="988">
        <f>IF(Расходы_5[[#This Row],[КВР]]&gt;=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)))))))))))))))),1,0)</f>
        <v>1</v>
      </c>
      <c r="B265" s="989">
        <f>IF(Расходы_5[[#This Row],[КЦ]]&gt;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)))))))))))))))),1,0)</f>
        <v>0</v>
      </c>
      <c r="C265" s="989">
        <f>IF(Расходы_5[[#This Row],[КОСГУ]]&gt;
IF(SUBTOTAL(109,N264)&gt;0,SUBTOTAL(109,N264),
IF(SUBTOTAL(109,N263)&gt;0,SUBTOTAL(109,N263),
IF(SUBTOTAL(109,N262)&gt;0,SUBTOTAL(109,N262),
IF(SUBTOTAL(109,N261)&gt;0,SUBTOTAL(109,N261),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IF(SUBTOTAL(109,N251)&gt;0,SUBTOTAL(109,N251),
IF(SUBTOTAL(109,N250)&gt;0,SUBTOTAL(109,N250),
IF(SUBTOTAL(109,N249)&gt;0,SUBTOTAL(109,N249),
)))))))))))))))),1,0)</f>
        <v>1</v>
      </c>
      <c r="D265" s="989">
        <f>IF(Расходы_5[[#This Row],[КВР]]&gt;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IF(SUBTOTAL(109,L249)&gt;0,SUBTOTAL(109,L249),
)))))))))))))))),1,0)</f>
        <v>0</v>
      </c>
      <c r="E265" s="989">
        <f>IF(Расходы_5[[#This Row],[КЦ]]&gt;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IF(SUBTOTAL(109,M249)&gt;0,SUBTOTAL(109,M249),
)))))))))))))))),1,0)</f>
        <v>0</v>
      </c>
      <c r="F265" s="989">
        <f>IF(Расходы_5[[#This Row],[КОСГУ]]&gt;
IF(SUBTOTAL(109,N264)&gt;0,SUBTOTAL(109,N264),
IF(SUBTOTAL(109,N263)&gt;0,SUBTOTAL(109,N263),
IF(SUBTOTAL(109,N262)&gt;0,SUBTOTAL(109,N262),
IF(SUBTOTAL(109,N261)&gt;0,SUBTOTAL(109,N261),
IF(SUBTOTAL(109,N260)&gt;0,SUBTOTAL(109,N260),
IF(SUBTOTAL(109,N259)&gt;0,SUBTOTAL(109,N259))))))),1,0)</f>
        <v>1</v>
      </c>
      <c r="G265" s="989" t="e">
        <f ca="1">_xlfn.AGGREGATE(9,5,$D$261:D265)</f>
        <v>#NAME?</v>
      </c>
      <c r="H265" s="989" t="e">
        <f ca="1">_xlfn.AGGREGATE(9,5,$E$261:E265)</f>
        <v>#NAME?</v>
      </c>
      <c r="I265" s="989" t="e">
        <f ca="1">_xlfn.AGGREGATE(9,5,$F$261:F265)</f>
        <v>#NAME?</v>
      </c>
      <c r="J265" s="970" t="str">
        <f>IF(SUM(Расходы_5[[#This Row],[2 025]:[2 027]])=0,"000",".")</f>
        <v>000</v>
      </c>
      <c r="K265" s="965">
        <v>5</v>
      </c>
      <c r="L265" s="1266">
        <v>112</v>
      </c>
      <c r="M265" s="1266">
        <v>956130</v>
      </c>
      <c r="N265" s="1266">
        <v>226</v>
      </c>
      <c r="O265" s="961"/>
      <c r="P265" s="961"/>
      <c r="Q265" s="961"/>
      <c r="R265" s="1238" t="s">
        <v>235</v>
      </c>
      <c r="S265" s="1128"/>
      <c r="T265" s="1151"/>
      <c r="Y265" s="959"/>
      <c r="Z265" s="959"/>
      <c r="AA265" s="959"/>
      <c r="AB265" s="963"/>
      <c r="AE265" s="50">
        <f>COUNT(102,$AF$248:AF265)-1</f>
        <v>18</v>
      </c>
      <c r="AF265" s="50">
        <v>1</v>
      </c>
    </row>
    <row r="266" spans="1:32" ht="20.25" customHeight="1" thickBot="1">
      <c r="A266" s="988">
        <f>IF(Расходы_5[[#This Row],[КВР]]&gt;=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)))))))))))))))),1,0)</f>
        <v>1</v>
      </c>
      <c r="B266" s="989">
        <f>IF(Расходы_5[[#This Row],[КЦ]]&gt;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)))))))))))))))),1,0)</f>
        <v>0</v>
      </c>
      <c r="C266" s="989">
        <f>IF(Расходы_5[[#This Row],[КОСГУ]]&gt;
IF(SUBTOTAL(109,N265)&gt;0,SUBTOTAL(109,N265),
IF(SUBTOTAL(109,N264)&gt;0,SUBTOTAL(109,N264),
IF(SUBTOTAL(109,N263)&gt;0,SUBTOTAL(109,N263),
IF(SUBTOTAL(109,N262)&gt;0,SUBTOTAL(109,N262),
IF(SUBTOTAL(109,N261)&gt;0,SUBTOTAL(109,N261),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IF(SUBTOTAL(109,N251)&gt;0,SUBTOTAL(109,N251),
IF(SUBTOTAL(109,N250)&gt;0,SUBTOTAL(109,N250),
)))))))))))))))),1,0)</f>
        <v>0</v>
      </c>
      <c r="D266" s="989">
        <f>IF(Расходы_5[[#This Row],[КВР]]&gt;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IF(SUBTOTAL(109,L250)&gt;0,SUBTOTAL(109,L250),
)))))))))))))))),1,0)</f>
        <v>0</v>
      </c>
      <c r="E266" s="989">
        <f>IF(Расходы_5[[#This Row],[КЦ]]&gt;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IF(SUBTOTAL(109,M250)&gt;0,SUBTOTAL(109,M250),
)))))))))))))))),1,0)</f>
        <v>0</v>
      </c>
      <c r="F266" s="989">
        <f>IF(Расходы_5[[#This Row],[КОСГУ]]&gt;
IF(SUBTOTAL(109,N265)&gt;0,SUBTOTAL(109,N265),
IF(SUBTOTAL(109,N264)&gt;0,SUBTOTAL(109,N264),
IF(SUBTOTAL(109,N263)&gt;0,SUBTOTAL(109,N263),
IF(SUBTOTAL(109,N262)&gt;0,SUBTOTAL(109,N262),
IF(SUBTOTAL(109,N261)&gt;0,SUBTOTAL(109,N261),
IF(SUBTOTAL(109,N260)&gt;0,SUBTOTAL(109,N260))))))),1,0)</f>
        <v>0</v>
      </c>
      <c r="G266" s="989" t="e">
        <f ca="1">_xlfn.AGGREGATE(9,5,$D$261:D266)</f>
        <v>#NAME?</v>
      </c>
      <c r="H266" s="989" t="e">
        <f ca="1">_xlfn.AGGREGATE(9,5,$E$261:E266)</f>
        <v>#NAME?</v>
      </c>
      <c r="I266" s="989" t="e">
        <f ca="1">_xlfn.AGGREGATE(9,5,$F$261:F266)</f>
        <v>#NAME?</v>
      </c>
      <c r="J266" s="970" t="str">
        <f>IF(SUM(Расходы_5[[#This Row],[2 025]:[2 027]])=0,"000",".")</f>
        <v>000</v>
      </c>
      <c r="K266" s="965">
        <v>5</v>
      </c>
      <c r="L266" s="909">
        <v>112</v>
      </c>
      <c r="M266" s="909">
        <v>956010</v>
      </c>
      <c r="N266" s="909">
        <v>226</v>
      </c>
      <c r="O266" s="1291"/>
      <c r="P266" s="962"/>
      <c r="Q266" s="962"/>
      <c r="R266" s="1238" t="s">
        <v>237</v>
      </c>
      <c r="S266" s="1128"/>
      <c r="T266" s="916"/>
      <c r="Y266" s="959"/>
      <c r="Z266" s="959"/>
      <c r="AA266" s="959"/>
      <c r="AB266" s="963"/>
      <c r="AE266" s="50">
        <f>COUNT(102,$AF$248:AF266)-1</f>
        <v>19</v>
      </c>
      <c r="AF266" s="50">
        <v>1</v>
      </c>
    </row>
    <row r="267" spans="1:32" ht="20.25" customHeight="1" thickBot="1">
      <c r="A267" s="988">
        <f>IF(Расходы_5[[#This Row],[КВР]]&gt;=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)))))))))))))))),1,0)</f>
        <v>1</v>
      </c>
      <c r="B267" s="989">
        <f>IF(Расходы_5[[#This Row],[КЦ]]&gt;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)))))))))))))))),1,0)</f>
        <v>1</v>
      </c>
      <c r="C267" s="989">
        <f>IF(Расходы_5[[#This Row],[КОСГУ]]&gt;
IF(SUBTOTAL(109,N266)&gt;0,SUBTOTAL(109,N266),
IF(SUBTOTAL(109,N265)&gt;0,SUBTOTAL(109,N265),
IF(SUBTOTAL(109,N264)&gt;0,SUBTOTAL(109,N264),
IF(SUBTOTAL(109,N263)&gt;0,SUBTOTAL(109,N263),
IF(SUBTOTAL(109,N262)&gt;0,SUBTOTAL(109,N262),
IF(SUBTOTAL(109,N261)&gt;0,SUBTOTAL(109,N261),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IF(SUBTOTAL(109,N251)&gt;0,SUBTOTAL(109,N251),
)))))))))))))))),1,0)</f>
        <v>0</v>
      </c>
      <c r="D267" s="989">
        <f>IF(Расходы_5[[#This Row],[КВР]]&gt;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)))))))))))))))),1,0)</f>
        <v>0</v>
      </c>
      <c r="E267" s="989">
        <f>IF(Расходы_5[[#This Row],[КЦ]]&gt;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)))))))))))))))),1,0)</f>
        <v>1</v>
      </c>
      <c r="F267" s="989">
        <f>IF(Расходы_5[[#This Row],[КОСГУ]]&gt;
IF(SUBTOTAL(109,N266)&gt;0,SUBTOTAL(109,N266),
IF(SUBTOTAL(109,N265)&gt;0,SUBTOTAL(109,N265),
IF(SUBTOTAL(109,N264)&gt;0,SUBTOTAL(109,N264),
IF(SUBTOTAL(109,N245)&gt;0,SUBTOTAL(109,N245),
IF(SUBTOTAL(109,N244)&gt;0,SUBTOTAL(109,N244),
IF(SUBTOTAL(109,N243)&gt;0,SUBTOTAL(109,N243))))))),1,0)</f>
        <v>0</v>
      </c>
      <c r="G267" s="989" t="e">
        <f ca="1">_xlfn.AGGREGATE(9,5,$D$261:D267)</f>
        <v>#NAME?</v>
      </c>
      <c r="H267" s="989" t="e">
        <f ca="1">_xlfn.AGGREGATE(9,5,$E$261:E267)</f>
        <v>#NAME?</v>
      </c>
      <c r="I267" s="989" t="e">
        <f ca="1">_xlfn.AGGREGATE(9,5,$F$261:F267)</f>
        <v>#NAME?</v>
      </c>
      <c r="J267" s="970" t="str">
        <f>IF(SUM(Расходы_5[[#This Row],[2 025]:[2 027]])=0,"000",".")</f>
        <v>.</v>
      </c>
      <c r="K267" s="1335">
        <v>5</v>
      </c>
      <c r="L267" s="1301">
        <v>112</v>
      </c>
      <c r="M267" s="1272">
        <v>956620</v>
      </c>
      <c r="N267" s="1272">
        <v>214</v>
      </c>
      <c r="O267" s="1278">
        <v>300000</v>
      </c>
      <c r="P267" s="1278">
        <v>300000</v>
      </c>
      <c r="Q267" s="1278">
        <v>300000</v>
      </c>
      <c r="R267" s="1386" t="s">
        <v>1093</v>
      </c>
      <c r="S267" s="1128"/>
      <c r="T267" s="916"/>
      <c r="Y267" s="959"/>
      <c r="Z267" s="959"/>
      <c r="AA267" s="959"/>
      <c r="AB267" s="963"/>
      <c r="AE267" s="50">
        <f>COUNT(102,$AF$248:AF267)-1</f>
        <v>20</v>
      </c>
      <c r="AF267" s="50">
        <v>1</v>
      </c>
    </row>
    <row r="268" spans="1:32" ht="20.25" customHeight="1">
      <c r="A268" s="988">
        <f>IF(Расходы_5[[#This Row],[КВР]]&gt;=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)))))))))))))))),1,0)</f>
        <v>1</v>
      </c>
      <c r="B268" s="989">
        <f>IF(Расходы_5[[#This Row],[КЦ]]&gt;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)))))))))))))))),1,0)</f>
        <v>1</v>
      </c>
      <c r="C268" s="989">
        <f>IF(Расходы_5[[#This Row],[КОСГУ]]&gt;
IF(SUBTOTAL(109,N266)&gt;0,SUBTOTAL(109,N266),
IF(SUBTOTAL(109,N265)&gt;0,SUBTOTAL(109,N265),
IF(SUBTOTAL(109,N264)&gt;0,SUBTOTAL(109,N264),
IF(SUBTOTAL(109,N263)&gt;0,SUBTOTAL(109,N263),
IF(SUBTOTAL(109,N262)&gt;0,SUBTOTAL(109,N262),
IF(SUBTOTAL(109,N261)&gt;0,SUBTOTAL(109,N261),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IF(SUBTOTAL(109,N251)&gt;0,SUBTOTAL(109,N251),
)))))))))))))))),1,0)</f>
        <v>1</v>
      </c>
      <c r="D268" s="989">
        <f>IF(Расходы_5[[#This Row],[КВР]]&gt;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IF(SUBTOTAL(109,L251)&gt;0,SUBTOTAL(109,L251),
)))))))))))))))),1,0)</f>
        <v>0</v>
      </c>
      <c r="E268" s="989">
        <f>IF(Расходы_5[[#This Row],[КЦ]]&gt;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IF(SUBTOTAL(109,M251)&gt;0,SUBTOTAL(109,M251),
)))))))))))))))),1,0)</f>
        <v>1</v>
      </c>
      <c r="F268" s="989">
        <f>IF(Расходы_5[[#This Row],[КОСГУ]]&gt;
IF(SUBTOTAL(109,N266)&gt;0,SUBTOTAL(109,N266),
IF(SUBTOTAL(109,N265)&gt;0,SUBTOTAL(109,N265),
IF(SUBTOTAL(109,N264)&gt;0,SUBTOTAL(109,N264),
IF(SUBTOTAL(109,N263)&gt;0,SUBTOTAL(109,N263),
IF(SUBTOTAL(109,N262)&gt;0,SUBTOTAL(109,N262),
IF(SUBTOTAL(109,N261)&gt;0,SUBTOTAL(109,N261))))))),1,0)</f>
        <v>1</v>
      </c>
      <c r="G268" s="989" t="e">
        <f ca="1">_xlfn.AGGREGATE(9,5,$D$261:D268)</f>
        <v>#NAME?</v>
      </c>
      <c r="H268" s="989" t="e">
        <f ca="1">_xlfn.AGGREGATE(9,5,$E$261:E268)</f>
        <v>#NAME?</v>
      </c>
      <c r="I268" s="989" t="e">
        <f ca="1">_xlfn.AGGREGATE(9,5,$F$261:F268)</f>
        <v>#NAME?</v>
      </c>
      <c r="J268" s="970" t="str">
        <f>IF(SUM(Расходы_5[[#This Row],[2 025]:[2 027]])=0,"000",".")</f>
        <v>000</v>
      </c>
      <c r="K268" s="965">
        <v>5</v>
      </c>
      <c r="L268" s="1266">
        <v>112</v>
      </c>
      <c r="M268" s="1266">
        <v>956350</v>
      </c>
      <c r="N268" s="1266">
        <v>266</v>
      </c>
      <c r="O268" s="1267"/>
      <c r="P268" s="1267"/>
      <c r="Q268" s="1267"/>
      <c r="R268" s="1238" t="s">
        <v>269</v>
      </c>
      <c r="S268" s="1128"/>
      <c r="T268" s="916"/>
      <c r="Y268" s="959"/>
      <c r="Z268" s="959"/>
      <c r="AA268" s="959"/>
      <c r="AB268" s="963"/>
      <c r="AE268" s="50">
        <f>COUNT(102,$AF$248:AF268)-1</f>
        <v>21</v>
      </c>
      <c r="AF268" s="50">
        <v>1</v>
      </c>
    </row>
    <row r="269" spans="1:32" ht="20.25" customHeight="1" thickBot="1">
      <c r="A269" s="988">
        <f>IF(Расходы_5[[#This Row],[КВР]]&gt;=
IF(SUBTOTAL(109,L268)&gt;0,SUBTOTAL(109,L268),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)))))))))))))))),1,0)</f>
        <v>1</v>
      </c>
      <c r="B269" s="989">
        <f>IF(Расходы_5[[#This Row],[КЦ]]&gt;
IF(SUBTOTAL(109,M268)&gt;0,SUBTOTAL(109,M268),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)))))))))))))))),1,0)</f>
        <v>0</v>
      </c>
      <c r="C269" s="989">
        <f>IF(Расходы_5[[#This Row],[КОСГУ]]&gt;
IF(SUBTOTAL(109,N268)&gt;0,SUBTOTAL(109,N268),
IF(SUBTOTAL(109,N266)&gt;0,SUBTOTAL(109,N266),
IF(SUBTOTAL(109,N265)&gt;0,SUBTOTAL(109,N265),
IF(SUBTOTAL(109,N264)&gt;0,SUBTOTAL(109,N264),
IF(SUBTOTAL(109,N263)&gt;0,SUBTOTAL(109,N263),
IF(SUBTOTAL(109,N262)&gt;0,SUBTOTAL(109,N262),
IF(SUBTOTAL(109,N261)&gt;0,SUBTOTAL(109,N261),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IF(SUBTOTAL(109,N252)&gt;0,SUBTOTAL(109,N252),
)))))))))))))))),1,0)</f>
        <v>0</v>
      </c>
      <c r="D269" s="989">
        <f>IF(Расходы_5[[#This Row],[КВР]]&gt;
IF(SUBTOTAL(109,L268)&gt;0,SUBTOTAL(109,L268),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IF(SUBTOTAL(109,L252)&gt;0,SUBTOTAL(109,L252),
)))))))))))))))),1,0)</f>
        <v>1</v>
      </c>
      <c r="E269" s="989">
        <f>IF(Расходы_5[[#This Row],[КЦ]]&gt;
IF(SUBTOTAL(109,M268)&gt;0,SUBTOTAL(109,M268),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IF(SUBTOTAL(109,M252)&gt;0,SUBTOTAL(109,M252),
)))))))))))))))),1,0)</f>
        <v>0</v>
      </c>
      <c r="F269" s="989">
        <f>IF(Расходы_5[[#This Row],[КОСГУ]]&gt;
IF(SUBTOTAL(109,N268)&gt;0,SUBTOTAL(109,N268),
IF(SUBTOTAL(109,N266)&gt;0,SUBTOTAL(109,N266),
IF(SUBTOTAL(109,N265)&gt;0,SUBTOTAL(109,N265),
IF(SUBTOTAL(109,N264)&gt;0,SUBTOTAL(109,N264),
IF(SUBTOTAL(109,N263)&gt;0,SUBTOTAL(109,N263),
IF(SUBTOTAL(109,N262)&gt;0,SUBTOTAL(109,N262))))))),1,0)</f>
        <v>0</v>
      </c>
      <c r="G269" s="989" t="e">
        <f ca="1">_xlfn.AGGREGATE(9,5,$D$261:D269)</f>
        <v>#NAME?</v>
      </c>
      <c r="H269" s="989" t="e">
        <f ca="1">_xlfn.AGGREGATE(9,5,$E$261:E269)</f>
        <v>#NAME?</v>
      </c>
      <c r="I269" s="989" t="e">
        <f ca="1">_xlfn.AGGREGATE(9,5,$F$261:F269)</f>
        <v>#NAME?</v>
      </c>
      <c r="J269" s="970" t="str">
        <f>IF(SUM(Расходы_5[[#This Row],[2 025]:[2 027]])=0,"000",".")</f>
        <v>000</v>
      </c>
      <c r="K269" s="965">
        <v>5</v>
      </c>
      <c r="L269" s="909">
        <v>113</v>
      </c>
      <c r="M269" s="909">
        <v>956130</v>
      </c>
      <c r="N269" s="909">
        <v>226</v>
      </c>
      <c r="O269" s="977"/>
      <c r="P269" s="977"/>
      <c r="Q269" s="977"/>
      <c r="R269" s="1238" t="s">
        <v>270</v>
      </c>
      <c r="S269" s="1128"/>
      <c r="T269" s="916"/>
      <c r="Y269" s="959"/>
      <c r="Z269" s="959"/>
      <c r="AA269" s="959"/>
      <c r="AB269" s="963"/>
      <c r="AE269" s="50">
        <f>COUNT(102,$AF$248:AF269)-1</f>
        <v>22</v>
      </c>
      <c r="AF269" s="50">
        <v>1</v>
      </c>
    </row>
    <row r="270" spans="1:32" ht="20.25" customHeight="1" thickBot="1">
      <c r="A270" s="988">
        <f>IF(Расходы_5[[#This Row],[КВР]]&gt;=
IF(SUBTOTAL(109,L269)&gt;0,SUBTOTAL(109,L269),
IF(SUBTOTAL(109,L268)&gt;0,SUBTOTAL(109,L268),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)))))))))))))))),1,0)</f>
        <v>1</v>
      </c>
      <c r="B270" s="989">
        <f>IF(Расходы_5[[#This Row],[КЦ]]&gt;
IF(SUBTOTAL(109,M269)&gt;0,SUBTOTAL(109,M269),
IF(SUBTOTAL(109,M268)&gt;0,SUBTOTAL(109,M268),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)))))))))))))))),1,0)</f>
        <v>0</v>
      </c>
      <c r="C270" s="989">
        <f>IF(Расходы_5[[#This Row],[КОСГУ]]&gt;
IF(SUBTOTAL(109,N269)&gt;0,SUBTOTAL(109,N269),
IF(SUBTOTAL(109,N268)&gt;0,SUBTOTAL(109,N268),
IF(SUBTOTAL(109,N266)&gt;0,SUBTOTAL(109,N266),
IF(SUBTOTAL(109,N265)&gt;0,SUBTOTAL(109,N265),
IF(SUBTOTAL(109,N264)&gt;0,SUBTOTAL(109,N264),
IF(SUBTOTAL(109,N263)&gt;0,SUBTOTAL(109,N263),
IF(SUBTOTAL(109,N262)&gt;0,SUBTOTAL(109,N262),
IF(SUBTOTAL(109,N261)&gt;0,SUBTOTAL(109,N261),
IF(SUBTOTAL(109,N260)&gt;0,SUBTOTAL(109,N260),
IF(SUBTOTAL(109,N259)&gt;0,SUBTOTAL(109,N259),
IF(SUBTOTAL(109,N258)&gt;0,SUBTOTAL(109,N258),
IF(SUBTOTAL(109,N257)&gt;0,SUBTOTAL(109,N257),
IF(SUBTOTAL(109,N256)&gt;0,SUBTOTAL(109,N256),
IF(SUBTOTAL(109,N255)&gt;0,SUBTOTAL(109,N255),
IF(SUBTOTAL(109,N254)&gt;0,SUBTOTAL(109,N254),
IF(SUBTOTAL(109,N253)&gt;0,SUBTOTAL(109,N253),
)))))))))))))))),1,0)</f>
        <v>0</v>
      </c>
      <c r="D270" s="989">
        <f>IF(Расходы_5[[#This Row],[КВР]]&gt;
IF(SUBTOTAL(109,L269)&gt;0,SUBTOTAL(109,L269),
IF(SUBTOTAL(109,L268)&gt;0,SUBTOTAL(109,L268),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IF(SUBTOTAL(109,L253)&gt;0,SUBTOTAL(109,L253),
)))))))))))))))),1,0)</f>
        <v>1</v>
      </c>
      <c r="E270" s="989">
        <f>IF(Расходы_5[[#This Row],[КЦ]]&gt;
IF(SUBTOTAL(109,M269)&gt;0,SUBTOTAL(109,M269),
IF(SUBTOTAL(109,M268)&gt;0,SUBTOTAL(109,M268),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IF(SUBTOTAL(109,M253)&gt;0,SUBTOTAL(109,M253),
)))))))))))))))),1,0)</f>
        <v>0</v>
      </c>
      <c r="F270" s="989">
        <f>IF(Расходы_5[[#This Row],[КОСГУ]]&gt;
IF(SUBTOTAL(109,N269)&gt;0,SUBTOTAL(109,N269),
IF(SUBTOTAL(109,N268)&gt;0,SUBTOTAL(109,N268),
IF(SUBTOTAL(109,N266)&gt;0,SUBTOTAL(109,N266),
IF(SUBTOTAL(109,N265)&gt;0,SUBTOTAL(109,N265),
IF(SUBTOTAL(109,N264)&gt;0,SUBTOTAL(109,N264),
IF(SUBTOTAL(109,N263)&gt;0,SUBTOTAL(109,N263))))))),1,0)</f>
        <v>0</v>
      </c>
      <c r="G270" s="989" t="e">
        <f ca="1">_xlfn.AGGREGATE(9,5,$D$261:D270)</f>
        <v>#NAME?</v>
      </c>
      <c r="H270" s="989" t="e">
        <f ca="1">_xlfn.AGGREGATE(9,5,$E$261:E270)</f>
        <v>#NAME?</v>
      </c>
      <c r="I270" s="989" t="e">
        <f ca="1">_xlfn.AGGREGATE(9,5,$F$261:F270)</f>
        <v>#NAME?</v>
      </c>
      <c r="J270" s="970" t="str">
        <f>IF(SUM(Расходы_5[[#This Row],[2 025]:[2 027]])=0,"000",".")</f>
        <v>.</v>
      </c>
      <c r="K270" s="1335">
        <v>5</v>
      </c>
      <c r="L270" s="1301">
        <v>119</v>
      </c>
      <c r="M270" s="1272"/>
      <c r="N270" s="1272">
        <v>213</v>
      </c>
      <c r="O270" s="1291">
        <f>94450+36240+63519.34+75201.61-5116.29</f>
        <v>264294.66000000003</v>
      </c>
      <c r="P270" s="1291">
        <f t="shared" ref="P270:Q270" si="13">94450+36240</f>
        <v>130690</v>
      </c>
      <c r="Q270" s="1291">
        <f t="shared" si="13"/>
        <v>130690</v>
      </c>
      <c r="R270" s="1386"/>
      <c r="S270" s="1128"/>
      <c r="T270" s="916"/>
      <c r="Y270" s="959"/>
      <c r="Z270" s="959"/>
      <c r="AA270" s="959"/>
      <c r="AB270" s="963"/>
      <c r="AE270" s="50">
        <f>COUNT(102,$AF$248:AF270)-1</f>
        <v>23</v>
      </c>
      <c r="AF270" s="50">
        <v>1</v>
      </c>
    </row>
    <row r="271" spans="1:32" ht="20.25" customHeight="1">
      <c r="A271" s="988">
        <f>IF(Расходы_5[[#This Row],[КВР]]&gt;=
IF(SUBTOTAL(109,L270)&gt;0,SUBTOTAL(109,L270),
IF(SUBTOTAL(109,L269)&gt;0,SUBTOTAL(109,L269),
IF(SUBTOTAL(109,L268)&gt;0,SUBTOTAL(109,L268),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)))))))))))))))),1,0)</f>
        <v>1</v>
      </c>
      <c r="B271" s="989">
        <f>IF(Расходы_5[[#This Row],[КЦ]]&gt;
IF(SUBTOTAL(109,M270)&gt;0,SUBTOTAL(109,M270),
IF(SUBTOTAL(109,M269)&gt;0,SUBTOTAL(109,M269),
IF(SUBTOTAL(109,M268)&gt;0,SUBTOTAL(109,M268),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)))))))))))))))),1,0)</f>
        <v>0</v>
      </c>
      <c r="C271" s="989">
        <f>IF(Расходы_5[[#This Row],[КОСГУ]]&gt;
IF(SUBTOTAL(109,N270)&gt;0,SUBTOTAL(109,N270),
IF(SUBTOTAL(109,N269)&gt;0,SUBTOTAL(109,N269),
IF(SUBTOTAL(109,N268)&gt;0,SUBTOTAL(109,N268),
IF(SUBTOTAL(109,N266)&gt;0,SUBTOTAL(109,N266),
IF(SUBTOTAL(109,N265)&gt;0,SUBTOTAL(109,N265),
IF(SUBTOTAL(109,N264)&gt;0,SUBTOTAL(109,N264),
IF(SUBTOTAL(109,N263)&gt;0,SUBTOTAL(109,N263),
IF(SUBTOTAL(109,N262)&gt;0,SUBTOTAL(109,N262),
IF(SUBTOTAL(109,N261)&gt;0,SUBTOTAL(109,N261),
IF(SUBTOTAL(109,N260)&gt;0,SUBTOTAL(109,N260),
IF(SUBTOTAL(109,N259)&gt;0,SUBTOTAL(109,N259),
IF(SUBTOTAL(109,N258)&gt;0,SUBTOTAL(109,N258),
IF(SUBTOTAL(109,N257)&gt;0,SUBTOTAL(109,N257),
IF(SUBTOTAL(109,N256)&gt;0,SUBTOTAL(109,N256),
IF(SUBTOTAL(109,N255)&gt;0,SUBTOTAL(109,N255),
IF(SUBTOTAL(109,N254)&gt;0,SUBTOTAL(109,N254),
)))))))))))))))),1,0)</f>
        <v>0</v>
      </c>
      <c r="D271" s="989">
        <f>IF(Расходы_5[[#This Row],[КВР]]&gt;
IF(SUBTOTAL(109,L270)&gt;0,SUBTOTAL(109,L270),
IF(SUBTOTAL(109,L269)&gt;0,SUBTOTAL(109,L269),
IF(SUBTOTAL(109,L268)&gt;0,SUBTOTAL(109,L268),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IF(SUBTOTAL(109,L254)&gt;0,SUBTOTAL(109,L254),
)))))))))))))))),1,0)</f>
        <v>0</v>
      </c>
      <c r="E271" s="989">
        <f>IF(Расходы_5[[#This Row],[КЦ]]&gt;
IF(SUBTOTAL(109,M270)&gt;0,SUBTOTAL(109,M270),
IF(SUBTOTAL(109,M269)&gt;0,SUBTOTAL(109,M269),
IF(SUBTOTAL(109,M268)&gt;0,SUBTOTAL(109,M268),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IF(SUBTOTAL(109,M254)&gt;0,SUBTOTAL(109,M254),
)))))))))))))))),1,0)</f>
        <v>0</v>
      </c>
      <c r="F271" s="989">
        <f>IF(Расходы_5[[#This Row],[КОСГУ]]&gt;
IF(SUBTOTAL(109,N270)&gt;0,SUBTOTAL(109,N270),
IF(SUBTOTAL(109,N269)&gt;0,SUBTOTAL(109,N269),
IF(SUBTOTAL(109,N268)&gt;0,SUBTOTAL(109,N268),
IF(SUBTOTAL(109,N266)&gt;0,SUBTOTAL(109,N266),
IF(SUBTOTAL(109,N265)&gt;0,SUBTOTAL(109,N265),
IF(SUBTOTAL(109,N264)&gt;0,SUBTOTAL(109,N264))))))),1,0)</f>
        <v>0</v>
      </c>
      <c r="G271" s="989" t="e">
        <f ca="1">_xlfn.AGGREGATE(9,5,$D$261:D271)</f>
        <v>#NAME?</v>
      </c>
      <c r="H271" s="989" t="e">
        <f ca="1">_xlfn.AGGREGATE(9,5,$E$261:E271)</f>
        <v>#NAME?</v>
      </c>
      <c r="I271" s="989" t="e">
        <f ca="1">_xlfn.AGGREGATE(9,5,$F$261:F271)</f>
        <v>#NAME?</v>
      </c>
      <c r="J271" s="970" t="str">
        <f>IF(SUM(Расходы_5[[#This Row],[2 025]:[2 027]])=0,"000",".")</f>
        <v>000</v>
      </c>
      <c r="K271" s="965">
        <v>5</v>
      </c>
      <c r="L271" s="1266">
        <v>119</v>
      </c>
      <c r="M271" s="1266"/>
      <c r="N271" s="1266">
        <v>213</v>
      </c>
      <c r="O271" s="1300"/>
      <c r="P271" s="1300"/>
      <c r="Q271" s="1300"/>
      <c r="R271" s="1238" t="s">
        <v>1107</v>
      </c>
      <c r="S271" s="1128"/>
      <c r="T271" s="916"/>
      <c r="Y271" s="959"/>
      <c r="Z271" s="959"/>
      <c r="AA271" s="959"/>
      <c r="AB271" s="963"/>
      <c r="AE271" s="50">
        <f>COUNT(102,$AF$248:AF271)-1</f>
        <v>24</v>
      </c>
      <c r="AF271" s="50">
        <v>1</v>
      </c>
    </row>
    <row r="272" spans="1:32" ht="20.25" customHeight="1">
      <c r="A272" s="988">
        <f>IF(Расходы_5[[#This Row],[КВР]]&gt;=
IF(SUBTOTAL(109,L271)&gt;0,SUBTOTAL(109,L271),
IF(SUBTOTAL(109,L270)&gt;0,SUBTOTAL(109,L270),
IF(SUBTOTAL(109,L269)&gt;0,SUBTOTAL(109,L269),
IF(SUBTOTAL(109,L268)&gt;0,SUBTOTAL(109,L268),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)))))))))))))))),1,0)</f>
        <v>1</v>
      </c>
      <c r="B272" s="989">
        <f>IF(Расходы_5[[#This Row],[КЦ]]&gt;
IF(SUBTOTAL(109,M271)&gt;0,SUBTOTAL(109,M271),
IF(SUBTOTAL(109,M270)&gt;0,SUBTOTAL(109,M270),
IF(SUBTOTAL(109,M269)&gt;0,SUBTOTAL(109,M269),
IF(SUBTOTAL(109,M268)&gt;0,SUBTOTAL(109,M268),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)))))))))))))))),1,0)</f>
        <v>0</v>
      </c>
      <c r="C272" s="989">
        <f>IF(Расходы_5[[#This Row],[КОСГУ]]&gt;
IF(SUBTOTAL(109,N271)&gt;0,SUBTOTAL(109,N271),
IF(SUBTOTAL(109,N270)&gt;0,SUBTOTAL(109,N270),
IF(SUBTOTAL(109,N269)&gt;0,SUBTOTAL(109,N269),
IF(SUBTOTAL(109,N268)&gt;0,SUBTOTAL(109,N268),
IF(SUBTOTAL(109,N266)&gt;0,SUBTOTAL(109,N266),
IF(SUBTOTAL(109,N265)&gt;0,SUBTOTAL(109,N265),
IF(SUBTOTAL(109,N264)&gt;0,SUBTOTAL(109,N264),
IF(SUBTOTAL(109,N263)&gt;0,SUBTOTAL(109,N263),
IF(SUBTOTAL(109,N262)&gt;0,SUBTOTAL(109,N262),
IF(SUBTOTAL(109,N261)&gt;0,SUBTOTAL(109,N261),
IF(SUBTOTAL(109,N260)&gt;0,SUBTOTAL(109,N260),
IF(SUBTOTAL(109,N259)&gt;0,SUBTOTAL(109,N259),
IF(SUBTOTAL(109,N258)&gt;0,SUBTOTAL(109,N258),
IF(SUBTOTAL(109,N257)&gt;0,SUBTOTAL(109,N257),
IF(SUBTOTAL(109,N256)&gt;0,SUBTOTAL(109,N256),
IF(SUBTOTAL(109,N255)&gt;0,SUBTOTAL(109,N255),
)))))))))))))))),1,0)</f>
        <v>1</v>
      </c>
      <c r="D272" s="989">
        <f>IF(Расходы_5[[#This Row],[КВР]]&gt;
IF(SUBTOTAL(109,L271)&gt;0,SUBTOTAL(109,L271),
IF(SUBTOTAL(109,L270)&gt;0,SUBTOTAL(109,L270),
IF(SUBTOTAL(109,L269)&gt;0,SUBTOTAL(109,L269),
IF(SUBTOTAL(109,L268)&gt;0,SUBTOTAL(109,L268),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IF(SUBTOTAL(109,L255)&gt;0,SUBTOTAL(109,L255),
)))))))))))))))),1,0)</f>
        <v>0</v>
      </c>
      <c r="E272" s="989">
        <f>IF(Расходы_5[[#This Row],[КЦ]]&gt;
IF(SUBTOTAL(109,M271)&gt;0,SUBTOTAL(109,M271),
IF(SUBTOTAL(109,M270)&gt;0,SUBTOTAL(109,M270),
IF(SUBTOTAL(109,M269)&gt;0,SUBTOTAL(109,M269),
IF(SUBTOTAL(109,M268)&gt;0,SUBTOTAL(109,M268),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IF(SUBTOTAL(109,M255)&gt;0,SUBTOTAL(109,M255),
)))))))))))))))),1,0)</f>
        <v>0</v>
      </c>
      <c r="F272" s="989">
        <f>IF(Расходы_5[[#This Row],[КОСГУ]]&gt;
IF(SUBTOTAL(109,N271)&gt;0,SUBTOTAL(109,N271),
IF(SUBTOTAL(109,N270)&gt;0,SUBTOTAL(109,N270),
IF(SUBTOTAL(109,N269)&gt;0,SUBTOTAL(109,N269),
IF(SUBTOTAL(109,N268)&gt;0,SUBTOTAL(109,N268),
IF(SUBTOTAL(109,N266)&gt;0,SUBTOTAL(109,N266),
IF(SUBTOTAL(109,N265)&gt;0,SUBTOTAL(109,N265))))))),1,0)</f>
        <v>1</v>
      </c>
      <c r="G272" s="989" t="e">
        <f ca="1">_xlfn.AGGREGATE(9,5,$D$261:D272)</f>
        <v>#NAME?</v>
      </c>
      <c r="H272" s="989" t="e">
        <f ca="1">_xlfn.AGGREGATE(9,5,$E$261:E272)</f>
        <v>#NAME?</v>
      </c>
      <c r="I272" s="989" t="e">
        <f ca="1">_xlfn.AGGREGATE(9,5,$F$261:F272)</f>
        <v>#NAME?</v>
      </c>
      <c r="J272" s="970" t="str">
        <f>IF(SUM(Расходы_5[[#This Row],[2 025]:[2 027]])=0,"000",".")</f>
        <v>000</v>
      </c>
      <c r="K272" s="965">
        <v>5</v>
      </c>
      <c r="L272" s="908">
        <v>119</v>
      </c>
      <c r="M272" s="908"/>
      <c r="N272" s="908">
        <v>265</v>
      </c>
      <c r="O272" s="967"/>
      <c r="P272" s="967"/>
      <c r="Q272" s="967"/>
      <c r="R272" s="1238" t="s">
        <v>748</v>
      </c>
      <c r="S272" s="1128"/>
      <c r="T272" s="916"/>
      <c r="Y272" s="959"/>
      <c r="Z272" s="959"/>
      <c r="AA272" s="959"/>
      <c r="AB272" s="963"/>
      <c r="AE272" s="50">
        <f>COUNT(102,$AF$248:AF272)-1</f>
        <v>25</v>
      </c>
      <c r="AF272" s="50">
        <v>1</v>
      </c>
    </row>
    <row r="273" spans="1:32" ht="20.25" customHeight="1">
      <c r="A273" s="988">
        <f>IF(Расходы_5[[#This Row],[КВР]]&gt;=
IF(SUBTOTAL(109,L272)&gt;0,SUBTOTAL(109,L272),
IF(SUBTOTAL(109,L271)&gt;0,SUBTOTAL(109,L271),
IF(SUBTOTAL(109,L270)&gt;0,SUBTOTAL(109,L270),
IF(SUBTOTAL(109,L269)&gt;0,SUBTOTAL(109,L269),
IF(SUBTOTAL(109,L268)&gt;0,SUBTOTAL(109,L268),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)))))))))))))))),1,0)</f>
        <v>1</v>
      </c>
      <c r="B273" s="989">
        <f>IF(Расходы_5[[#This Row],[КЦ]]&gt;
IF(SUBTOTAL(109,M272)&gt;0,SUBTOTAL(109,M272),
IF(SUBTOTAL(109,M271)&gt;0,SUBTOTAL(109,M271),
IF(SUBTOTAL(109,M270)&gt;0,SUBTOTAL(109,M270),
IF(SUBTOTAL(109,M269)&gt;0,SUBTOTAL(109,M269),
IF(SUBTOTAL(109,M268)&gt;0,SUBTOTAL(109,M268),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)))))))))))))))),1,0)</f>
        <v>0</v>
      </c>
      <c r="C273" s="989">
        <f>IF(Расходы_5[[#This Row],[КОСГУ]]&gt;
IF(SUBTOTAL(109,N272)&gt;0,SUBTOTAL(109,N272),
IF(SUBTOTAL(109,N271)&gt;0,SUBTOTAL(109,N271),
IF(SUBTOTAL(109,N270)&gt;0,SUBTOTAL(109,N270),
IF(SUBTOTAL(109,N269)&gt;0,SUBTOTAL(109,N269),
IF(SUBTOTAL(109,N268)&gt;0,SUBTOTAL(109,N268),
IF(SUBTOTAL(109,N266)&gt;0,SUBTOTAL(109,N266),
IF(SUBTOTAL(109,N265)&gt;0,SUBTOTAL(109,N265),
IF(SUBTOTAL(109,N264)&gt;0,SUBTOTAL(109,N264),
IF(SUBTOTAL(109,N263)&gt;0,SUBTOTAL(109,N263),
IF(SUBTOTAL(109,N262)&gt;0,SUBTOTAL(109,N262),
IF(SUBTOTAL(109,N261)&gt;0,SUBTOTAL(109,N261),
IF(SUBTOTAL(109,N260)&gt;0,SUBTOTAL(109,N260),
IF(SUBTOTAL(109,N259)&gt;0,SUBTOTAL(109,N259),
IF(SUBTOTAL(109,N258)&gt;0,SUBTOTAL(109,N258),
IF(SUBTOTAL(109,N257)&gt;0,SUBTOTAL(109,N257),
IF(SUBTOTAL(109,N256)&gt;0,SUBTOTAL(109,N256),
)))))))))))))))),1,0)</f>
        <v>1</v>
      </c>
      <c r="D273" s="989">
        <f>IF(Расходы_5[[#This Row],[КВР]]&gt;
IF(SUBTOTAL(109,L272)&gt;0,SUBTOTAL(109,L272),
IF(SUBTOTAL(109,L271)&gt;0,SUBTOTAL(109,L271),
IF(SUBTOTAL(109,L270)&gt;0,SUBTOTAL(109,L270),
IF(SUBTOTAL(109,L269)&gt;0,SUBTOTAL(109,L269),
IF(SUBTOTAL(109,L268)&gt;0,SUBTOTAL(109,L268),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IF(SUBTOTAL(109,L257)&gt;0,SUBTOTAL(109,L257),
IF(SUBTOTAL(109,L256)&gt;0,SUBTOTAL(109,L256),
)))))))))))))))),1,0)</f>
        <v>0</v>
      </c>
      <c r="E273" s="989">
        <f>IF(Расходы_5[[#This Row],[КЦ]]&gt;
IF(SUBTOTAL(109,M272)&gt;0,SUBTOTAL(109,M272),
IF(SUBTOTAL(109,M271)&gt;0,SUBTOTAL(109,M271),
IF(SUBTOTAL(109,M270)&gt;0,SUBTOTAL(109,M270),
IF(SUBTOTAL(109,M269)&gt;0,SUBTOTAL(109,M269),
IF(SUBTOTAL(109,M268)&gt;0,SUBTOTAL(109,M268),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IF(SUBTOTAL(109,M257)&gt;0,SUBTOTAL(109,M257),
IF(SUBTOTAL(109,M256)&gt;0,SUBTOTAL(109,M256),
)))))))))))))))),1,0)</f>
        <v>0</v>
      </c>
      <c r="F273" s="989">
        <f>IF(Расходы_5[[#This Row],[КОСГУ]]&gt;
IF(SUBTOTAL(109,N272)&gt;0,SUBTOTAL(109,N272),
IF(SUBTOTAL(109,N271)&gt;0,SUBTOTAL(109,N271),
IF(SUBTOTAL(109,N270)&gt;0,SUBTOTAL(109,N270),
IF(SUBTOTAL(109,N269)&gt;0,SUBTOTAL(109,N269),
IF(SUBTOTAL(109,N268)&gt;0,SUBTOTAL(109,N268),
IF(SUBTOTAL(109,N266)&gt;0,SUBTOTAL(109,N266))))))),1,0)</f>
        <v>1</v>
      </c>
      <c r="G273" s="989" t="e">
        <f ca="1">_xlfn.AGGREGATE(9,5,$D$261:D273)</f>
        <v>#NAME?</v>
      </c>
      <c r="H273" s="989" t="e">
        <f ca="1">_xlfn.AGGREGATE(9,5,$E$261:E273)</f>
        <v>#NAME?</v>
      </c>
      <c r="I273" s="989" t="e">
        <f ca="1">_xlfn.AGGREGATE(9,5,$F$261:F273)</f>
        <v>#NAME?</v>
      </c>
      <c r="J273" s="970" t="str">
        <f>IF(SUM(Расходы_5[[#This Row],[2 025]:[2 027]])=0,"000",".")</f>
        <v>000</v>
      </c>
      <c r="K273" s="965">
        <v>5</v>
      </c>
      <c r="L273" s="908">
        <v>119</v>
      </c>
      <c r="M273" s="908"/>
      <c r="N273" s="908">
        <v>266</v>
      </c>
      <c r="O273" s="967"/>
      <c r="P273" s="967"/>
      <c r="Q273" s="967"/>
      <c r="R273" s="1238" t="s">
        <v>749</v>
      </c>
      <c r="S273" s="1128"/>
      <c r="T273" s="916"/>
      <c r="Y273" s="959"/>
      <c r="Z273" s="959"/>
      <c r="AA273" s="959"/>
      <c r="AB273" s="963"/>
      <c r="AE273" s="50">
        <f>COUNT(102,$AF$248:AF273)-1</f>
        <v>26</v>
      </c>
      <c r="AF273" s="50">
        <v>1</v>
      </c>
    </row>
    <row r="274" spans="1:32" ht="21" customHeight="1">
      <c r="A274" s="988">
        <f>IF(Расходы_5[[#This Row],[КВР]]&gt;=
IF(SUBTOTAL(109,L273)&gt;0,SUBTOTAL(109,L273),
IF(SUBTOTAL(109,L272)&gt;0,SUBTOTAL(109,L272),
IF(SUBTOTAL(109,L271)&gt;0,SUBTOTAL(109,L271),
IF(SUBTOTAL(109,L270)&gt;0,SUBTOTAL(109,L270),
IF(SUBTOTAL(109,L269)&gt;0,SUBTOTAL(109,L269),
IF(SUBTOTAL(109,L268)&gt;0,SUBTOTAL(109,L268),
IF(SUBTOTAL(109,L267)&gt;0,SUBTOTAL(109,L267),
IF(SUBTOTAL(109,L266)&gt;0,SUBTOTAL(109,L266),
IF(SUBTOTAL(109,L265)&gt;0,SUBTOTAL(109,L265),
IF(SUBTOTAL(109,L264)&gt;0,SUBTOTAL(109,L264),
IF(SUBTOTAL(109,L263)&gt;0,SUBTOTAL(109,L263),
IF(SUBTOTAL(109,L262)&gt;0,SUBTOTAL(109,L262),
IF(SUBTOTAL(109,L261)&gt;0,SUBTOTAL(109,L261),
IF(SUBTOTAL(109,L259)&gt;0,SUBTOTAL(109,L259),
IF(SUBTOTAL(109,L258)&gt;0,SUBTOTAL(109,L258),
IF(SUBTOTAL(109,L257)&gt;0,SUBTOTAL(109,L257),
)))))))))))))))),1,0)</f>
        <v>1</v>
      </c>
      <c r="B274" s="989">
        <f>IF(Расходы_5[[#This Row],[КЦ]]&gt;
IF(SUBTOTAL(109,M273)&gt;0,SUBTOTAL(109,M273),
IF(SUBTOTAL(109,M272)&gt;0,SUBTOTAL(109,M272),
IF(SUBTOTAL(109,M271)&gt;0,SUBTOTAL(109,M271),
IF(SUBTOTAL(109,M270)&gt;0,SUBTOTAL(109,M270),
IF(SUBTOTAL(109,M269)&gt;0,SUBTOTAL(109,M269),
IF(SUBTOTAL(109,M268)&gt;0,SUBTOTAL(109,M268),
IF(SUBTOTAL(109,M267)&gt;0,SUBTOTAL(109,M267),
IF(SUBTOTAL(109,M266)&gt;0,SUBTOTAL(109,M266),
IF(SUBTOTAL(109,M265)&gt;0,SUBTOTAL(109,M265),
IF(SUBTOTAL(109,M264)&gt;0,SUBTOTAL(109,M264),
IF(SUBTOTAL(109,M263)&gt;0,SUBTOTAL(109,M263),
IF(SUBTOTAL(109,M262)&gt;0,SUBTOTAL(109,M262),
IF(SUBTOTAL(109,M261)&gt;0,SUBTOTAL(109,M261),
IF(SUBTOTAL(109,M259)&gt;0,SUBTOTAL(109,M259),
IF(SUBTOTAL(109,M258)&gt;0,SUBTOTAL(109,M258),
IF(SUBTOTAL(109,M257)&gt;0,SUBTOTAL(109,M257),
)))))))))))))))),1,0)</f>
        <v>0</v>
      </c>
      <c r="C274" s="989">
        <f>IF(Расходы_5[[#This Row],[КОСГУ]]&gt;
IF(SUBTOTAL(109,N273)&gt;0,SUBTOTAL(109,N273),
IF(SUBTOTAL(109,N272)&gt;0,SUBTOTAL(109,N272),
IF(SUBTOTAL(109,N271)&gt;0,SUBTOTAL(109,N271),
IF(SUBTOTAL(109,N270)&gt;0,SUBTOTAL(109,N270),
IF(SUBTOTAL(109,N269)&gt;0,SUBTOTAL(109,N269),
IF(SUBTOTAL(109,N268)&gt;0,SUBTOTAL(109,N268),
IF(SUBTOTAL(109,N267)&gt;0,SUBTOTAL(109,N267),
IF(SUBTOTAL(109,N266)&gt;0,SUBTOTAL(109,N266),
IF(SUBTOTAL(109,N265)&gt;0,SUBTOTAL(109,N265),
IF(SUBTOTAL(109,N264)&gt;0,SUBTOTAL(109,N264),
IF(SUBTOTAL(109,N263)&gt;0,SUBTOTAL(109,N263),
IF(SUBTOTAL(109,N262)&gt;0,SUBTOTAL(109,N262),
IF(SUBTOTAL(109,N261)&gt;0,SUBTOTAL(109,N261),
IF(SUBTOTAL(109,N259)&gt;0,SUBTOTAL(109,N259),
IF(SUBTOTAL(109,N258)&gt;0,SUBTOTAL(109,N258),
IF(SUBTOTAL(109,N257)&gt;0,SUBTOTAL(109,N257),
)))))))))))))))),1,0)</f>
        <v>0</v>
      </c>
      <c r="D274" s="989">
        <f>IF(Расходы_5[[#This Row],[КВР]]&gt;
IF(SUBTOTAL(109,L273)&gt;0,SUBTOTAL(109,L273),
IF(SUBTOTAL(109,L272)&gt;0,SUBTOTAL(109,L272),
IF(SUBTOTAL(109,L271)&gt;0,SUBTOTAL(109,L271),
IF(SUBTOTAL(109,L270)&gt;0,SUBTOTAL(109,L270),
IF(SUBTOTAL(109,L269)&gt;0,SUBTOTAL(109,L269),
IF(SUBTOTAL(109,L268)&gt;0,SUBTOTAL(109,L268),
IF(SUBTOTAL(109,L267)&gt;0,SUBTOTAL(109,L267),
IF(SUBTOTAL(109,L266)&gt;0,SUBTOTAL(109,L266),
IF(SUBTOTAL(109,L265)&gt;0,SUBTOTAL(109,L265),
IF(SUBTOTAL(109,L264)&gt;0,SUBTOTAL(109,L264),
IF(SUBTOTAL(109,L263)&gt;0,SUBTOTAL(109,L263),
IF(SUBTOTAL(109,L262)&gt;0,SUBTOTAL(109,L262),
IF(SUBTOTAL(109,L261)&gt;0,SUBTOTAL(109,L261),
IF(SUBTOTAL(109,L259)&gt;0,SUBTOTAL(109,L259),
IF(SUBTOTAL(109,L258)&gt;0,SUBTOTAL(109,L258),
IF(SUBTOTAL(109,L257)&gt;0,SUBTOTAL(109,L257),
)))))))))))))))),1,0)</f>
        <v>0</v>
      </c>
      <c r="E274" s="989">
        <f>IF(Расходы_5[[#This Row],[КЦ]]&gt;
IF(SUBTOTAL(109,M273)&gt;0,SUBTOTAL(109,M273),
IF(SUBTOTAL(109,M272)&gt;0,SUBTOTAL(109,M272),
IF(SUBTOTAL(109,M271)&gt;0,SUBTOTAL(109,M271),
IF(SUBTOTAL(109,M270)&gt;0,SUBTOTAL(109,M270),
IF(SUBTOTAL(109,M269)&gt;0,SUBTOTAL(109,M269),
IF(SUBTOTAL(109,M268)&gt;0,SUBTOTAL(109,M268),
IF(SUBTOTAL(109,M267)&gt;0,SUBTOTAL(109,M267),
IF(SUBTOTAL(109,M266)&gt;0,SUBTOTAL(109,M266),
IF(SUBTOTAL(109,M265)&gt;0,SUBTOTAL(109,M265),
IF(SUBTOTAL(109,M264)&gt;0,SUBTOTAL(109,M264),
IF(SUBTOTAL(109,M263)&gt;0,SUBTOTAL(109,M263),
IF(SUBTOTAL(109,M262)&gt;0,SUBTOTAL(109,M262),
IF(SUBTOTAL(109,M261)&gt;0,SUBTOTAL(109,M261),
IF(SUBTOTAL(109,M259)&gt;0,SUBTOTAL(109,M259),
IF(SUBTOTAL(109,M258)&gt;0,SUBTOTAL(109,M258),
IF(SUBTOTAL(109,M257)&gt;0,SUBTOTAL(109,M257),
)))))))))))))))),1,0)</f>
        <v>0</v>
      </c>
      <c r="F274" s="989">
        <f>IF(Расходы_5[[#This Row],[КОСГУ]]&gt;
IF(SUBTOTAL(109,N273)&gt;0,SUBTOTAL(109,N273),
IF(SUBTOTAL(109,N272)&gt;0,SUBTOTAL(109,N272),
IF(SUBTOTAL(109,N271)&gt;0,SUBTOTAL(109,N271),
IF(SUBTOTAL(109,N270)&gt;0,SUBTOTAL(109,N270),
IF(SUBTOTAL(109,N269)&gt;0,SUBTOTAL(109,N269),
IF(SUBTOTAL(109,N268)&gt;0,SUBTOTAL(109,N268))))))),1,0)</f>
        <v>0</v>
      </c>
      <c r="G274" s="989" t="e">
        <f ca="1">_xlfn.AGGREGATE(9,5,$D$261:D274)</f>
        <v>#NAME?</v>
      </c>
      <c r="H274" s="989" t="e">
        <f ca="1">_xlfn.AGGREGATE(9,5,$E$261:E274)</f>
        <v>#NAME?</v>
      </c>
      <c r="I274" s="989" t="e">
        <f ca="1">_xlfn.AGGREGATE(9,5,$F$261:F274)</f>
        <v>#NAME?</v>
      </c>
      <c r="J274" s="970" t="str">
        <f>IF(SUM(Расходы_5[[#This Row],[2 025]:[2 027]])=0,"000",".")</f>
        <v>000</v>
      </c>
      <c r="K274" s="965">
        <v>5</v>
      </c>
      <c r="L274" s="908">
        <v>119</v>
      </c>
      <c r="M274" s="908"/>
      <c r="N274" s="908">
        <v>226</v>
      </c>
      <c r="O274" s="967"/>
      <c r="P274" s="967"/>
      <c r="Q274" s="967"/>
      <c r="R274" s="1238" t="s">
        <v>1101</v>
      </c>
      <c r="S274" s="1129"/>
      <c r="AE274" s="50">
        <f>COUNT(102,$AF$248:AF274)-1</f>
        <v>27</v>
      </c>
      <c r="AF274" s="50">
        <v>1</v>
      </c>
    </row>
    <row r="275" spans="1:32" ht="21" customHeight="1">
      <c r="A275" s="988">
        <f>IF(Расходы_5[[#This Row],[КВР]]&gt;=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)))))))))))))))),1,0)</f>
        <v>1</v>
      </c>
      <c r="B275" s="989">
        <f>IF(Расходы_5[[#This Row],[КЦ]]&gt;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)))))))))))))))),1,0)</f>
        <v>0</v>
      </c>
      <c r="C275" s="989">
        <f>IF(Расходы_5[[#This Row],[КОСГУ]]&gt;
IF(SUBTOTAL(109,N274)&gt;0,SUBTOTAL(109,N274),
IF(SUBTOTAL(109,N273)&gt;0,SUBTOTAL(109,N273),
IF(SUBTOTAL(109,N272)&gt;0,SUBTOTAL(109,N272),
IF(SUBTOTAL(109,N271)&gt;0,SUBTOTAL(109,N271),
IF(SUBTOTAL(109,N270)&gt;0,SUBTOTAL(109,N270),
IF(SUBTOTAL(109,N269)&gt;0,SUBTOTAL(109,N269),
IF(SUBTOTAL(109,N267)&gt;0,SUBTOTAL(109,N267),
IF(SUBTOTAL(109,N266)&gt;0,SUBTOTAL(109,N266),
IF(SUBTOTAL(109,N265)&gt;0,SUBTOTAL(109,N265),
IF(SUBTOTAL(109,N264)&gt;0,SUBTOTAL(109,N264),
IF(SUBTOTAL(109,N263)&gt;0,SUBTOTAL(109,N263),
IF(SUBTOTAL(109,N262)&gt;0,SUBTOTAL(109,N262),
IF(SUBTOTAL(109,N261)&gt;0,SUBTOTAL(109,N261),
IF(SUBTOTAL(109,N260)&gt;0,SUBTOTAL(109,N260),
IF(SUBTOTAL(109,N259)&gt;0,SUBTOTAL(109,N259),
IF(SUBTOTAL(109,N258)&gt;0,SUBTOTAL(109,N258),
)))))))))))))))),1,0)</f>
        <v>0</v>
      </c>
      <c r="D275" s="989">
        <f>IF(Расходы_5[[#This Row],[КВР]]&gt;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IF(SUBTOTAL(109,L258)&gt;0,SUBTOTAL(109,L258),
)))))))))))))))),1,0)</f>
        <v>1</v>
      </c>
      <c r="E275" s="989">
        <f>IF(Расходы_5[[#This Row],[КЦ]]&gt;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IF(SUBTOTAL(109,M258)&gt;0,SUBTOTAL(109,M258),
)))))))))))))))),1,0)</f>
        <v>0</v>
      </c>
      <c r="F275" s="989">
        <f>IF(Расходы_5[[#This Row],[КОСГУ]]&gt;
IF(SUBTOTAL(109,N274)&gt;0,SUBTOTAL(109,N274),
IF(SUBTOTAL(109,N273)&gt;0,SUBTOTAL(109,N273),
IF(SUBTOTAL(109,N272)&gt;0,SUBTOTAL(109,N272),
IF(SUBTOTAL(109,N271)&gt;0,SUBTOTAL(109,N271),
IF(SUBTOTAL(109,N270)&gt;0,SUBTOTAL(109,N270),
IF(SUBTOTAL(109,N269)&gt;0,SUBTOTAL(109,N269))))))),1,0)</f>
        <v>0</v>
      </c>
      <c r="G275" s="989" t="e">
        <f ca="1">_xlfn.AGGREGATE(9,5,$D$261:D275)</f>
        <v>#NAME?</v>
      </c>
      <c r="H275" s="989" t="e">
        <f ca="1">_xlfn.AGGREGATE(9,5,$E$261:E275)</f>
        <v>#NAME?</v>
      </c>
      <c r="I275" s="989" t="e">
        <f ca="1">_xlfn.AGGREGATE(9,5,$F$261:F275)</f>
        <v>#NAME?</v>
      </c>
      <c r="J275" s="970" t="str">
        <f>IF(SUM(Расходы_5[[#This Row],[2 025]:[2 027]])=0,"000",".")</f>
        <v>000</v>
      </c>
      <c r="K275" s="965">
        <v>5</v>
      </c>
      <c r="L275" s="908">
        <v>244</v>
      </c>
      <c r="M275" s="908"/>
      <c r="N275" s="908">
        <v>222</v>
      </c>
      <c r="O275" s="967"/>
      <c r="P275" s="967"/>
      <c r="Q275" s="967"/>
      <c r="R275" s="1238"/>
      <c r="U275" s="62"/>
      <c r="V275" s="62"/>
      <c r="W275" s="50"/>
      <c r="X275" s="50"/>
      <c r="AE275" s="50">
        <f>COUNT(102,$AF$248:AF275)-1</f>
        <v>28</v>
      </c>
      <c r="AF275" s="50">
        <v>1</v>
      </c>
    </row>
    <row r="276" spans="1:32" ht="21" customHeight="1">
      <c r="A276" s="988">
        <f>IF(Расходы_5[[#This Row],[КВР]]&gt;=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)))))))))))))))),1,0)</f>
        <v>1</v>
      </c>
      <c r="B276" s="989">
        <f>IF(Расходы_5[[#This Row],[КЦ]]&gt;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)))))))))))))))),1,0)</f>
        <v>0</v>
      </c>
      <c r="C276" s="989">
        <f>IF(Расходы_5[[#This Row],[КОСГУ]]&gt;
IF(SUBTOTAL(109,N275)&gt;0,SUBTOTAL(109,N275),
IF(SUBTOTAL(109,N274)&gt;0,SUBTOTAL(109,N274),
IF(SUBTOTAL(109,N273)&gt;0,SUBTOTAL(109,N273),
IF(SUBTOTAL(109,N272)&gt;0,SUBTOTAL(109,N272),
IF(SUBTOTAL(109,N271)&gt;0,SUBTOTAL(109,N271),
IF(SUBTOTAL(109,N270)&gt;0,SUBTOTAL(109,N270),
IF(SUBTOTAL(109,N269)&gt;0,SUBTOTAL(109,N269),
IF(SUBTOTAL(109,N267)&gt;0,SUBTOTAL(109,N267),
IF(SUBTOTAL(109,N266)&gt;0,SUBTOTAL(109,N266),
IF(SUBTOTAL(109,N265)&gt;0,SUBTOTAL(109,N265),
IF(SUBTOTAL(109,N264)&gt;0,SUBTOTAL(109,N264),
IF(SUBTOTAL(109,N263)&gt;0,SUBTOTAL(109,N263),
IF(SUBTOTAL(109,N262)&gt;0,SUBTOTAL(109,N262),
IF(SUBTOTAL(109,N261)&gt;0,SUBTOTAL(109,N261),
IF(SUBTOTAL(109,N260)&gt;0,SUBTOTAL(109,N260),
IF(SUBTOTAL(109,N259)&gt;0,SUBTOTAL(109,N259),
)))))))))))))))),1,0)</f>
        <v>1</v>
      </c>
      <c r="D276" s="989">
        <f>IF(Расходы_5[[#This Row],[КВР]]&gt;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IF(SUBTOTAL(109,L262)&gt;0,SUBTOTAL(109,L262),
IF(SUBTOTAL(109,L261)&gt;0,SUBTOTAL(109,L261),
IF(SUBTOTAL(109,L260)&gt;0,SUBTOTAL(109,L260),
IF(SUBTOTAL(109,L259)&gt;0,SUBTOTAL(109,L259),
)))))))))))))))),1,0)</f>
        <v>0</v>
      </c>
      <c r="E276" s="989">
        <f>IF(Расходы_5[[#This Row],[КЦ]]&gt;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IF(SUBTOTAL(109,M262)&gt;0,SUBTOTAL(109,M262),
IF(SUBTOTAL(109,M261)&gt;0,SUBTOTAL(109,M261),
IF(SUBTOTAL(109,M260)&gt;0,SUBTOTAL(109,M260),
IF(SUBTOTAL(109,M259)&gt;0,SUBTOTAL(109,M259),
)))))))))))))))),1,0)</f>
        <v>0</v>
      </c>
      <c r="F276" s="989">
        <f>IF(Расходы_5[[#This Row],[КОСГУ]]&gt;
IF(SUBTOTAL(109,N275)&gt;0,SUBTOTAL(109,N275),
IF(SUBTOTAL(109,N274)&gt;0,SUBTOTAL(109,N274),
IF(SUBTOTAL(109,N273)&gt;0,SUBTOTAL(109,N273),
IF(SUBTOTAL(109,N272)&gt;0,SUBTOTAL(109,N272),
IF(SUBTOTAL(109,N271)&gt;0,SUBTOTAL(109,N271),
IF(SUBTOTAL(109,N270)&gt;0,SUBTOTAL(109,N270))))))),1,0)</f>
        <v>1</v>
      </c>
      <c r="G276" s="989" t="e">
        <f ca="1">_xlfn.AGGREGATE(9,5,$D$261:D276)</f>
        <v>#NAME?</v>
      </c>
      <c r="H276" s="989" t="e">
        <f ca="1">_xlfn.AGGREGATE(9,5,$E$261:E276)</f>
        <v>#NAME?</v>
      </c>
      <c r="I276" s="989" t="e">
        <f ca="1">_xlfn.AGGREGATE(9,5,$F$261:F276)</f>
        <v>#NAME?</v>
      </c>
      <c r="J276" s="970" t="str">
        <f>IF(SUM(Расходы_5[[#This Row],[2 025]:[2 027]])=0,"000",".")</f>
        <v>000</v>
      </c>
      <c r="K276" s="965">
        <v>5</v>
      </c>
      <c r="L276" s="908">
        <v>244</v>
      </c>
      <c r="M276" s="908"/>
      <c r="N276" s="908">
        <v>224</v>
      </c>
      <c r="O276" s="961"/>
      <c r="P276" s="961"/>
      <c r="Q276" s="961"/>
      <c r="R276" s="1238" t="s">
        <v>240</v>
      </c>
      <c r="W276" s="50"/>
      <c r="X276" s="50"/>
      <c r="AE276" s="50">
        <f>COUNT(102,$AF$248:AF276)-1</f>
        <v>29</v>
      </c>
      <c r="AF276" s="50">
        <v>1</v>
      </c>
    </row>
    <row r="277" spans="1:32" ht="21" customHeight="1">
      <c r="A277" s="988">
        <f>IF(Расходы_5[[#This Row],[КВР]]&gt;=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IF(SUBTOTAL(109,L262)&gt;0,SUBTOTAL(109,L262),
IF(SUBTOTAL(109,L261)&gt;0,SUBTOTAL(109,L261),
IF(SUBTOTAL(109,L260)&gt;0,SUBTOTAL(109,L260),
)))))))))))))))),1,0)</f>
        <v>1</v>
      </c>
      <c r="B277" s="989">
        <f>IF(Расходы_5[[#This Row],[КЦ]]&gt;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IF(SUBTOTAL(109,M262)&gt;0,SUBTOTAL(109,M262),
IF(SUBTOTAL(109,M261)&gt;0,SUBTOTAL(109,M261),
IF(SUBTOTAL(109,M260)&gt;0,SUBTOTAL(109,M260),
)))))))))))))))),1,0)</f>
        <v>0</v>
      </c>
      <c r="C277" s="989">
        <f>IF(Расходы_5[[#This Row],[КОСГУ]]&gt;
IF(SUBTOTAL(109,N276)&gt;0,SUBTOTAL(109,N276),
IF(SUBTOTAL(109,N275)&gt;0,SUBTOTAL(109,N275),
IF(SUBTOTAL(109,N274)&gt;0,SUBTOTAL(109,N274),
IF(SUBTOTAL(109,N273)&gt;0,SUBTOTAL(109,N273),
IF(SUBTOTAL(109,N272)&gt;0,SUBTOTAL(109,N272),
IF(SUBTOTAL(109,N271)&gt;0,SUBTOTAL(109,N271),
IF(SUBTOTAL(109,N270)&gt;0,SUBTOTAL(109,N270),
IF(SUBTOTAL(109,N269)&gt;0,SUBTOTAL(109,N269),
IF(SUBTOTAL(109,N267)&gt;0,SUBTOTAL(109,N267),
IF(SUBTOTAL(109,N266)&gt;0,SUBTOTAL(109,N266),
IF(SUBTOTAL(109,N265)&gt;0,SUBTOTAL(109,N265),
IF(SUBTOTAL(109,N264)&gt;0,SUBTOTAL(109,N264),
IF(SUBTOTAL(109,N263)&gt;0,SUBTOTAL(109,N263),
IF(SUBTOTAL(109,N262)&gt;0,SUBTOTAL(109,N262),
IF(SUBTOTAL(109,N261)&gt;0,SUBTOTAL(109,N261),
IF(SUBTOTAL(109,N260)&gt;0,SUBTOTAL(109,N260),
)))))))))))))))),1,0)</f>
        <v>1</v>
      </c>
      <c r="D277" s="989">
        <f>IF(Расходы_5[[#This Row],[КВР]]&gt;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IF(SUBTOTAL(109,L262)&gt;0,SUBTOTAL(109,L262),
IF(SUBTOTAL(109,L261)&gt;0,SUBTOTAL(109,L261),
IF(SUBTOTAL(109,L260)&gt;0,SUBTOTAL(109,L260),
)))))))))))))))),1,0)</f>
        <v>0</v>
      </c>
      <c r="E277" s="989">
        <f>IF(Расходы_5[[#This Row],[КЦ]]&gt;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IF(SUBTOTAL(109,M262)&gt;0,SUBTOTAL(109,M262),
IF(SUBTOTAL(109,M261)&gt;0,SUBTOTAL(109,M261),
IF(SUBTOTAL(109,M260)&gt;0,SUBTOTAL(109,M260),
)))))))))))))))),1,0)</f>
        <v>0</v>
      </c>
      <c r="F277" s="989">
        <f>IF(Расходы_5[[#This Row],[КОСГУ]]&gt;
IF(SUBTOTAL(109,N276)&gt;0,SUBTOTAL(109,N276),
IF(SUBTOTAL(109,N275)&gt;0,SUBTOTAL(109,N275),
IF(SUBTOTAL(109,N274)&gt;0,SUBTOTAL(109,N274),
IF(SUBTOTAL(109,N273)&gt;0,SUBTOTAL(109,N273),
IF(SUBTOTAL(109,N272)&gt;0,SUBTOTAL(109,N272),
IF(SUBTOTAL(109,N271)&gt;0,SUBTOTAL(109,N271))))))),1,0)</f>
        <v>1</v>
      </c>
      <c r="G277" s="989" t="e">
        <f ca="1">_xlfn.AGGREGATE(9,5,$D$261:D277)</f>
        <v>#NAME?</v>
      </c>
      <c r="H277" s="989" t="e">
        <f ca="1">_xlfn.AGGREGATE(9,5,$E$261:E277)</f>
        <v>#NAME?</v>
      </c>
      <c r="I277" s="989" t="e">
        <f ca="1">_xlfn.AGGREGATE(9,5,$F$261:F277)</f>
        <v>#NAME?</v>
      </c>
      <c r="J277" s="970" t="str">
        <f>IF(SUM(Расходы_5[[#This Row],[2 025]:[2 027]])=0,"000",".")</f>
        <v>.</v>
      </c>
      <c r="K277" s="965">
        <v>5</v>
      </c>
      <c r="L277" s="908">
        <v>244</v>
      </c>
      <c r="M277" s="908"/>
      <c r="N277" s="1279">
        <v>225</v>
      </c>
      <c r="O277" s="1448">
        <f>115000+2690000</f>
        <v>2805000</v>
      </c>
      <c r="P277" s="967">
        <v>115000</v>
      </c>
      <c r="Q277" s="967">
        <v>115000</v>
      </c>
      <c r="R277" s="1447" t="s">
        <v>1130</v>
      </c>
      <c r="W277" s="50"/>
      <c r="X277" s="50"/>
      <c r="AE277" s="50">
        <f>COUNT(102,$AF$248:AF277)-1</f>
        <v>30</v>
      </c>
      <c r="AF277" s="50">
        <v>1</v>
      </c>
    </row>
    <row r="278" spans="1:32" ht="21" customHeight="1" thickBot="1">
      <c r="A278" s="988">
        <f>IF(Расходы_5[[#This Row],[КВР]]&gt;=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IF(SUBTOTAL(109,L262)&gt;0,SUBTOTAL(109,L262),
IF(SUBTOTAL(109,L261)&gt;0,SUBTOTAL(109,L261),
)))))))))))))))),1,0)</f>
        <v>1</v>
      </c>
      <c r="B278" s="989">
        <f>IF(Расходы_5[[#This Row],[КЦ]]&gt;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IF(SUBTOTAL(109,M262)&gt;0,SUBTOTAL(109,M262),
IF(SUBTOTAL(109,M261)&gt;0,SUBTOTAL(109,M261),
)))))))))))))))),1,0)</f>
        <v>0</v>
      </c>
      <c r="C278" s="989">
        <f>IF(Расходы_5[[#This Row],[КОСГУ]]&gt;
IF(SUBTOTAL(109,N277)&gt;0,SUBTOTAL(109,N277),
IF(SUBTOTAL(109,N276)&gt;0,SUBTOTAL(109,N276),
IF(SUBTOTAL(109,N275)&gt;0,SUBTOTAL(109,N275),
IF(SUBTOTAL(109,N274)&gt;0,SUBTOTAL(109,N274),
IF(SUBTOTAL(109,N273)&gt;0,SUBTOTAL(109,N273),
IF(SUBTOTAL(109,N272)&gt;0,SUBTOTAL(109,N272),
IF(SUBTOTAL(109,N271)&gt;0,SUBTOTAL(109,N271),
IF(SUBTOTAL(109,N270)&gt;0,SUBTOTAL(109,N270),
IF(SUBTOTAL(109,N269)&gt;0,SUBTOTAL(109,N269),
IF(SUBTOTAL(109,N267)&gt;0,SUBTOTAL(109,N267),
IF(SUBTOTAL(109,N266)&gt;0,SUBTOTAL(109,N266),
IF(SUBTOTAL(109,N265)&gt;0,SUBTOTAL(109,N265),
IF(SUBTOTAL(109,N264)&gt;0,SUBTOTAL(109,N264),
IF(SUBTOTAL(109,N263)&gt;0,SUBTOTAL(109,N263),
IF(SUBTOTAL(109,N262)&gt;0,SUBTOTAL(109,N262),
IF(SUBTOTAL(109,N261)&gt;0,SUBTOTAL(109,N261),
)))))))))))))))),1,0)</f>
        <v>1</v>
      </c>
      <c r="D278" s="989">
        <f>IF(Расходы_5[[#This Row],[КВР]]&gt;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IF(SUBTOTAL(109,L262)&gt;0,SUBTOTAL(109,L262),
IF(SUBTOTAL(109,L261)&gt;0,SUBTOTAL(109,L261),
)))))))))))))))),1,0)</f>
        <v>0</v>
      </c>
      <c r="E278" s="989">
        <f>IF(Расходы_5[[#This Row],[КЦ]]&gt;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IF(SUBTOTAL(109,M262)&gt;0,SUBTOTAL(109,M262),
IF(SUBTOTAL(109,M261)&gt;0,SUBTOTAL(109,M261),
)))))))))))))))),1,0)</f>
        <v>0</v>
      </c>
      <c r="F278" s="989">
        <f>IF(Расходы_5[[#This Row],[КОСГУ]]&gt;
IF(SUBTOTAL(109,N277)&gt;0,SUBTOTAL(109,N277),
IF(SUBTOTAL(109,N276)&gt;0,SUBTOTAL(109,N276),
IF(SUBTOTAL(109,N275)&gt;0,SUBTOTAL(109,N275),
IF(SUBTOTAL(109,N274)&gt;0,SUBTOTAL(109,N274),
IF(SUBTOTAL(109,N273)&gt;0,SUBTOTAL(109,N273),
IF(SUBTOTAL(109,N272)&gt;0,SUBTOTAL(109,N272))))))),1,0)</f>
        <v>1</v>
      </c>
      <c r="G278" s="989" t="e">
        <f ca="1">_xlfn.AGGREGATE(9,5,$D$261:D278)</f>
        <v>#NAME?</v>
      </c>
      <c r="H278" s="989" t="e">
        <f ca="1">_xlfn.AGGREGATE(9,5,$E$261:E278)</f>
        <v>#NAME?</v>
      </c>
      <c r="I278" s="989" t="e">
        <f ca="1">_xlfn.AGGREGATE(9,5,$F$261:F278)</f>
        <v>#NAME?</v>
      </c>
      <c r="J278" s="970" t="str">
        <f>IF(SUM(Расходы_5[[#This Row],[2 025]:[2 027]])=0,"000",".")</f>
        <v>000</v>
      </c>
      <c r="K278" s="965">
        <v>5</v>
      </c>
      <c r="L278" s="909">
        <v>244</v>
      </c>
      <c r="M278" s="909">
        <v>956130</v>
      </c>
      <c r="N278" s="909">
        <v>226</v>
      </c>
      <c r="O278" s="962"/>
      <c r="P278" s="962"/>
      <c r="Q278" s="962"/>
      <c r="R278" s="1405" t="s">
        <v>271</v>
      </c>
      <c r="W278" s="50"/>
      <c r="X278" s="50"/>
      <c r="AE278" s="50">
        <f>COUNT(102,$AF$248:AF278)-1</f>
        <v>31</v>
      </c>
      <c r="AF278" s="50">
        <v>1</v>
      </c>
    </row>
    <row r="279" spans="1:32" ht="21" customHeight="1" thickBot="1">
      <c r="A279" s="988">
        <f>IF(Расходы_5[[#This Row],[КВР]]&gt;=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IF(SUBTOTAL(109,L262)&gt;0,SUBTOTAL(109,L262),
)))))))))))))))),1,0)</f>
        <v>1</v>
      </c>
      <c r="B279" s="989">
        <f>IF(Расходы_5[[#This Row],[КЦ]]&gt;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IF(SUBTOTAL(109,M262)&gt;0,SUBTOTAL(109,M262),
)))))))))))))))),1,0)</f>
        <v>0</v>
      </c>
      <c r="C279" s="989">
        <f>IF(Расходы_5[[#This Row],[КОСГУ]]&gt;
IF(SUBTOTAL(109,N278)&gt;0,SUBTOTAL(109,N278),
IF(SUBTOTAL(109,N277)&gt;0,SUBTOTAL(109,N277),
IF(SUBTOTAL(109,N276)&gt;0,SUBTOTAL(109,N276),
IF(SUBTOTAL(109,N275)&gt;0,SUBTOTAL(109,N275),
IF(SUBTOTAL(109,N274)&gt;0,SUBTOTAL(109,N274),
IF(SUBTOTAL(109,N273)&gt;0,SUBTOTAL(109,N273),
IF(SUBTOTAL(109,N272)&gt;0,SUBTOTAL(109,N272),
IF(SUBTOTAL(109,N271)&gt;0,SUBTOTAL(109,N271),
IF(SUBTOTAL(109,N270)&gt;0,SUBTOTAL(109,N270),
IF(SUBTOTAL(109,N269)&gt;0,SUBTOTAL(109,N269),
IF(SUBTOTAL(109,N267)&gt;0,SUBTOTAL(109,N267),
IF(SUBTOTAL(109,N266)&gt;0,SUBTOTAL(109,N266),
IF(SUBTOTAL(109,N265)&gt;0,SUBTOTAL(109,N265),
IF(SUBTOTAL(109,N264)&gt;0,SUBTOTAL(109,N264),
IF(SUBTOTAL(109,N263)&gt;0,SUBTOTAL(109,N263),
IF(SUBTOTAL(109,N262)&gt;0,SUBTOTAL(109,N262),
)))))))))))))))),1,0)</f>
        <v>0</v>
      </c>
      <c r="D279" s="989">
        <f>IF(Расходы_5[[#This Row],[КВР]]&gt;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IF(SUBTOTAL(109,L262)&gt;0,SUBTOTAL(109,L262),
)))))))))))))))),1,0)</f>
        <v>0</v>
      </c>
      <c r="E279" s="989">
        <f>IF(Расходы_5[[#This Row],[КЦ]]&gt;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IF(SUBTOTAL(109,M262)&gt;0,SUBTOTAL(109,M262),
)))))))))))))))),1,0)</f>
        <v>0</v>
      </c>
      <c r="F279" s="989">
        <f>IF(Расходы_5[[#This Row],[КОСГУ]]&gt;
IF(SUBTOTAL(109,N278)&gt;0,SUBTOTAL(109,N278),
IF(SUBTOTAL(109,N277)&gt;0,SUBTOTAL(109,N277),
IF(SUBTOTAL(109,N276)&gt;0,SUBTOTAL(109,N276),
IF(SUBTOTAL(109,N275)&gt;0,SUBTOTAL(109,N275),
IF(SUBTOTAL(109,N274)&gt;0,SUBTOTAL(109,N274),
IF(SUBTOTAL(109,N273)&gt;0,SUBTOTAL(109,N273))))))),1,0)</f>
        <v>0</v>
      </c>
      <c r="G279" s="989" t="e">
        <f ca="1">_xlfn.AGGREGATE(9,5,$D$261:D279)</f>
        <v>#NAME?</v>
      </c>
      <c r="H279" s="989" t="e">
        <f ca="1">_xlfn.AGGREGATE(9,5,$E$261:E279)</f>
        <v>#NAME?</v>
      </c>
      <c r="I279" s="989" t="e">
        <f ca="1">_xlfn.AGGREGATE(9,5,$F$261:F279)</f>
        <v>#NAME?</v>
      </c>
      <c r="J279" s="970" t="str">
        <f>IF(SUM(Расходы_5[[#This Row],[2 025]:[2 027]])=0,"000",".")</f>
        <v>.</v>
      </c>
      <c r="K279" s="1335">
        <v>5</v>
      </c>
      <c r="L279" s="1301">
        <v>244</v>
      </c>
      <c r="M279" s="1272"/>
      <c r="N279" s="1272">
        <v>226</v>
      </c>
      <c r="O279" s="1291">
        <f>96491.4-15605.8</f>
        <v>80885.599999999991</v>
      </c>
      <c r="P279" s="1291">
        <v>96334.2</v>
      </c>
      <c r="Q279" s="1291">
        <v>96334.2</v>
      </c>
      <c r="R279" s="1407" t="s">
        <v>1096</v>
      </c>
      <c r="T279" s="925"/>
      <c r="W279" s="50"/>
      <c r="X279" s="50"/>
      <c r="AE279" s="50">
        <f>COUNT(102,$AF$248:AF279)-1</f>
        <v>32</v>
      </c>
      <c r="AF279" s="50">
        <v>1</v>
      </c>
    </row>
    <row r="280" spans="1:32" ht="21" customHeight="1">
      <c r="A280" s="988">
        <f>IF(Расходы_5[[#This Row],[КВР]]&gt;=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)))))))))))))))),1,0)</f>
        <v>1</v>
      </c>
      <c r="B280" s="989">
        <f>IF(Расходы_5[[#This Row],[КЦ]]&gt;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)))))))))))))))),1,0)</f>
        <v>0</v>
      </c>
      <c r="C280" s="989">
        <f>IF(Расходы_5[[#This Row],[КОСГУ]]&gt;
IF(SUBTOTAL(109,N279)&gt;0,SUBTOTAL(109,N279),
IF(SUBTOTAL(109,N278)&gt;0,SUBTOTAL(109,N278),
IF(SUBTOTAL(109,N277)&gt;0,SUBTOTAL(109,N277),
IF(SUBTOTAL(109,N276)&gt;0,SUBTOTAL(109,N276),
IF(SUBTOTAL(109,N275)&gt;0,SUBTOTAL(109,N275),
IF(SUBTOTAL(109,N274)&gt;0,SUBTOTAL(109,N274),
IF(SUBTOTAL(109,N273)&gt;0,SUBTOTAL(109,N273),
IF(SUBTOTAL(109,N272)&gt;0,SUBTOTAL(109,N272),
IF(SUBTOTAL(109,N271)&gt;0,SUBTOTAL(109,N271),
IF(SUBTOTAL(109,N270)&gt;0,SUBTOTAL(109,N270),
IF(SUBTOTAL(109,N269)&gt;0,SUBTOTAL(109,N269),
IF(SUBTOTAL(109,N267)&gt;0,SUBTOTAL(109,N267),
IF(SUBTOTAL(109,N266)&gt;0,SUBTOTAL(109,N266),
IF(SUBTOTAL(109,N265)&gt;0,SUBTOTAL(109,N265),
IF(SUBTOTAL(109,N264)&gt;0,SUBTOTAL(109,N264),
IF(SUBTOTAL(109,N263)&gt;0,SUBTOTAL(109,N263),
)))))))))))))))),1,0)</f>
        <v>1</v>
      </c>
      <c r="D280" s="989">
        <f>IF(Расходы_5[[#This Row],[КВР]]&gt;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IF(SUBTOTAL(109,L263)&gt;0,SUBTOTAL(109,L263),
)))))))))))))))),1,0)</f>
        <v>0</v>
      </c>
      <c r="E280" s="989">
        <f>IF(Расходы_5[[#This Row],[КЦ]]&gt;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IF(SUBTOTAL(109,M263)&gt;0,SUBTOTAL(109,M263),
)))))))))))))))),1,0)</f>
        <v>0</v>
      </c>
      <c r="F280" s="989">
        <f>IF(Расходы_5[[#This Row],[КОСГУ]]&gt;
IF(SUBTOTAL(109,N279)&gt;0,SUBTOTAL(109,N279),
IF(SUBTOTAL(109,N278)&gt;0,SUBTOTAL(109,N278),
IF(SUBTOTAL(109,N277)&gt;0,SUBTOTAL(109,N277),
IF(SUBTOTAL(109,N276)&gt;0,SUBTOTAL(109,N276),
IF(SUBTOTAL(109,N275)&gt;0,SUBTOTAL(109,N275),
IF(SUBTOTAL(109,N274)&gt;0,SUBTOTAL(109,N274))))))),1,0)</f>
        <v>1</v>
      </c>
      <c r="G280" s="989" t="e">
        <f ca="1">_xlfn.AGGREGATE(9,5,$D$261:D280)</f>
        <v>#NAME?</v>
      </c>
      <c r="H280" s="989" t="e">
        <f ca="1">_xlfn.AGGREGATE(9,5,$E$261:E280)</f>
        <v>#NAME?</v>
      </c>
      <c r="I280" s="989" t="e">
        <f ca="1">_xlfn.AGGREGATE(9,5,$F$261:F280)</f>
        <v>#NAME?</v>
      </c>
      <c r="J280" s="970" t="str">
        <f>IF(SUM(Расходы_5[[#This Row],[2 025]:[2 027]])=0,"000",".")</f>
        <v>000</v>
      </c>
      <c r="K280" s="965">
        <v>5</v>
      </c>
      <c r="L280" s="1266">
        <v>244</v>
      </c>
      <c r="M280" s="1266"/>
      <c r="N280" s="1266">
        <v>228</v>
      </c>
      <c r="O280" s="1300"/>
      <c r="P280" s="1300"/>
      <c r="Q280" s="1267"/>
      <c r="R280" s="1406" t="s">
        <v>246</v>
      </c>
      <c r="T280" s="925"/>
      <c r="W280" s="50"/>
      <c r="X280" s="50"/>
      <c r="AE280" s="50">
        <f>COUNT(102,$AF$248:AF280)-1</f>
        <v>33</v>
      </c>
      <c r="AF280" s="50">
        <v>1</v>
      </c>
    </row>
    <row r="281" spans="1:32" ht="21" customHeight="1">
      <c r="A281" s="988">
        <f>IF(Расходы_5[[#This Row],[КВР]]&gt;=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)))))))))))))))),1,0)</f>
        <v>1</v>
      </c>
      <c r="B281" s="989">
        <f>IF(Расходы_5[[#This Row],[КЦ]]&gt;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)))))))))))))))),1,0)</f>
        <v>1</v>
      </c>
      <c r="C281" s="989">
        <f>IF(Расходы_5[[#This Row],[КОСГУ]]&gt;
IF(SUBTOTAL(109,N280)&gt;0,SUBTOTAL(109,N280),
IF(SUBTOTAL(109,N279)&gt;0,SUBTOTAL(109,N279),
IF(SUBTOTAL(109,N278)&gt;0,SUBTOTAL(109,N278),
IF(SUBTOTAL(109,N277)&gt;0,SUBTOTAL(109,N277),
IF(SUBTOTAL(109,N276)&gt;0,SUBTOTAL(109,N276),
IF(SUBTOTAL(109,N275)&gt;0,SUBTOTAL(109,N275),
IF(SUBTOTAL(109,N274)&gt;0,SUBTOTAL(109,N274),
IF(SUBTOTAL(109,N273)&gt;0,SUBTOTAL(109,N273),
IF(SUBTOTAL(109,N272)&gt;0,SUBTOTAL(109,N272),
IF(SUBTOTAL(109,N271)&gt;0,SUBTOTAL(109,N271),
IF(SUBTOTAL(109,N270)&gt;0,SUBTOTAL(109,N270),
IF(SUBTOTAL(109,N269)&gt;0,SUBTOTAL(109,N269),
IF(SUBTOTAL(109,N267)&gt;0,SUBTOTAL(109,N267),
IF(SUBTOTAL(109,N266)&gt;0,SUBTOTAL(109,N266),
IF(SUBTOTAL(109,N265)&gt;0,SUBTOTAL(109,N265),
IF(SUBTOTAL(109,N264)&gt;0,SUBTOTAL(109,N264),
)))))))))))))))),1,0)</f>
        <v>1</v>
      </c>
      <c r="D281" s="989">
        <f>IF(Расходы_5[[#This Row],[КВР]]&gt;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IF(SUBTOTAL(109,L267)&gt;0,SUBTOTAL(109,L267),
IF(SUBTOTAL(109,L266)&gt;0,SUBTOTAL(109,L266),
IF(SUBTOTAL(109,L265)&gt;0,SUBTOTAL(109,L265),
IF(SUBTOTAL(109,L264)&gt;0,SUBTOTAL(109,L264),
)))))))))))))))),1,0)</f>
        <v>0</v>
      </c>
      <c r="E281" s="989">
        <f>IF(Расходы_5[[#This Row],[КЦ]]&gt;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IF(SUBTOTAL(109,M267)&gt;0,SUBTOTAL(109,M267),
IF(SUBTOTAL(109,M266)&gt;0,SUBTOTAL(109,M266),
IF(SUBTOTAL(109,M265)&gt;0,SUBTOTAL(109,M265),
IF(SUBTOTAL(109,M264)&gt;0,SUBTOTAL(109,M264),
)))))))))))))))),1,0)</f>
        <v>1</v>
      </c>
      <c r="F281" s="989">
        <f>IF(Расходы_5[[#This Row],[КОСГУ]]&gt;
IF(SUBTOTAL(109,N280)&gt;0,SUBTOTAL(109,N280),
IF(SUBTOTAL(109,N279)&gt;0,SUBTOTAL(109,N279),
IF(SUBTOTAL(109,N278)&gt;0,SUBTOTAL(109,N278),
IF(SUBTOTAL(109,N277)&gt;0,SUBTOTAL(109,N277),
IF(SUBTOTAL(109,N276)&gt;0,SUBTOTAL(109,N276),
IF(SUBTOTAL(109,N275)&gt;0,SUBTOTAL(109,N275))))))),1,0)</f>
        <v>1</v>
      </c>
      <c r="G281" s="989" t="e">
        <f ca="1">_xlfn.AGGREGATE(9,5,$D$261:D281)</f>
        <v>#NAME?</v>
      </c>
      <c r="H281" s="989" t="e">
        <f ca="1">_xlfn.AGGREGATE(9,5,$E$261:E281)</f>
        <v>#NAME?</v>
      </c>
      <c r="I281" s="989" t="e">
        <f ca="1">_xlfn.AGGREGATE(9,5,$F$261:F281)</f>
        <v>#NAME?</v>
      </c>
      <c r="J281" s="970" t="str">
        <f>IF(SUM(Расходы_5[[#This Row],[2 025]:[2 027]])=0,"000",".")</f>
        <v>000</v>
      </c>
      <c r="K281" s="965">
        <v>5</v>
      </c>
      <c r="L281" s="908">
        <v>244</v>
      </c>
      <c r="M281" s="908">
        <v>956150</v>
      </c>
      <c r="N281" s="908">
        <v>310</v>
      </c>
      <c r="O281" s="961"/>
      <c r="P281" s="961"/>
      <c r="Q281" s="961"/>
      <c r="R281" s="1238"/>
      <c r="T281" s="925"/>
      <c r="W281" s="50"/>
      <c r="X281" s="50"/>
      <c r="AE281" s="50">
        <f>COUNT(102,$AF$248:AF281)-1</f>
        <v>34</v>
      </c>
      <c r="AF281" s="50">
        <v>1</v>
      </c>
    </row>
    <row r="282" spans="1:32" ht="21" customHeight="1">
      <c r="A282" s="988">
        <f>IF(Расходы_5[[#This Row],[КВР]]&gt;=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IF(SUBTOTAL(109,L268)&gt;0,SUBTOTAL(109,L268),
IF(SUBTOTAL(109,L266)&gt;0,SUBTOTAL(109,L266),
IF(SUBTOTAL(109,L265)&gt;0,SUBTOTAL(109,L265),
)))))))))))))))),1,0)</f>
        <v>1</v>
      </c>
      <c r="B282" s="989">
        <f>IF(Расходы_5[[#This Row],[КЦ]]&gt;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IF(SUBTOTAL(109,M268)&gt;0,SUBTOTAL(109,M268),
IF(SUBTOTAL(109,M266)&gt;0,SUBTOTAL(109,M266),
IF(SUBTOTAL(109,M265)&gt;0,SUBTOTAL(109,M265),
)))))))))))))))),1,0)</f>
        <v>0</v>
      </c>
      <c r="C282" s="989">
        <f>IF(Расходы_5[[#This Row],[КОСГУ]]&gt;
IF(SUBTOTAL(109,N281)&gt;0,SUBTOTAL(109,N281),
IF(SUBTOTAL(109,N280)&gt;0,SUBTOTAL(109,N280),
IF(SUBTOTAL(109,N279)&gt;0,SUBTOTAL(109,N279),
IF(SUBTOTAL(109,N278)&gt;0,SUBTOTAL(109,N278),
IF(SUBTOTAL(109,N277)&gt;0,SUBTOTAL(109,N277),
IF(SUBTOTAL(109,N276)&gt;0,SUBTOTAL(109,N276),
IF(SUBTOTAL(109,N275)&gt;0,SUBTOTAL(109,N275),
IF(SUBTOTAL(109,N274)&gt;0,SUBTOTAL(109,N274),
IF(SUBTOTAL(109,N273)&gt;0,SUBTOTAL(109,N273),
IF(SUBTOTAL(109,N272)&gt;0,SUBTOTAL(109,N272),
IF(SUBTOTAL(109,N271)&gt;0,SUBTOTAL(109,N271),
IF(SUBTOTAL(109,N270)&gt;0,SUBTOTAL(109,N270),
IF(SUBTOTAL(109,N269)&gt;0,SUBTOTAL(109,N269),
IF(SUBTOTAL(109,N268)&gt;0,SUBTOTAL(109,N268),
IF(SUBTOTAL(109,N266)&gt;0,SUBTOTAL(109,N266),
IF(SUBTOTAL(109,N265)&gt;0,SUBTOTAL(109,N265),
)))))))))))))))),1,0)</f>
        <v>1</v>
      </c>
      <c r="D282" s="989">
        <f>IF(Расходы_5[[#This Row],[КВР]]&gt;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IF(SUBTOTAL(109,L268)&gt;0,SUBTOTAL(109,L268),
IF(SUBTOTAL(109,L266)&gt;0,SUBTOTAL(109,L266),
IF(SUBTOTAL(109,L265)&gt;0,SUBTOTAL(109,L265),
)))))))))))))))),1,0)</f>
        <v>0</v>
      </c>
      <c r="E282" s="989">
        <f>IF(Расходы_5[[#This Row],[КЦ]]&gt;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IF(SUBTOTAL(109,M268)&gt;0,SUBTOTAL(109,M268),
IF(SUBTOTAL(109,M266)&gt;0,SUBTOTAL(109,M266),
IF(SUBTOTAL(109,M265)&gt;0,SUBTOTAL(109,M265),
)))))))))))))))),1,0)</f>
        <v>0</v>
      </c>
      <c r="F282" s="989">
        <f>IF(Расходы_5[[#This Row],[КОСГУ]]&gt;
IF(SUBTOTAL(109,N281)&gt;0,SUBTOTAL(109,N281),
IF(SUBTOTAL(109,N280)&gt;0,SUBTOTAL(109,N280),
IF(SUBTOTAL(109,N279)&gt;0,SUBTOTAL(109,N279),
IF(SUBTOTAL(109,N278)&gt;0,SUBTOTAL(109,N278),
IF(SUBTOTAL(109,N277)&gt;0,SUBTOTAL(109,N277),
IF(SUBTOTAL(109,N276)&gt;0,SUBTOTAL(109,N276))))))),1,0)</f>
        <v>1</v>
      </c>
      <c r="G282" s="989" t="e">
        <f ca="1">_xlfn.AGGREGATE(9,5,$D$261:D282)</f>
        <v>#NAME?</v>
      </c>
      <c r="H282" s="989" t="e">
        <f ca="1">_xlfn.AGGREGATE(9,5,$E$261:E282)</f>
        <v>#NAME?</v>
      </c>
      <c r="I282" s="989" t="e">
        <f ca="1">_xlfn.AGGREGATE(9,5,$F$261:F282)</f>
        <v>#NAME?</v>
      </c>
      <c r="J282" s="970" t="str">
        <f>IF(SUM(Расходы_5[[#This Row],[2 025]:[2 027]])=0,"000",".")</f>
        <v>000</v>
      </c>
      <c r="K282" s="965">
        <v>5</v>
      </c>
      <c r="L282" s="908">
        <v>244</v>
      </c>
      <c r="M282" s="908"/>
      <c r="N282" s="908">
        <v>342</v>
      </c>
      <c r="O282" s="967"/>
      <c r="P282" s="967"/>
      <c r="Q282" s="967"/>
      <c r="R282" s="1238" t="s">
        <v>248</v>
      </c>
      <c r="T282" s="925"/>
      <c r="W282" s="50"/>
      <c r="X282" s="50"/>
      <c r="AE282" s="50">
        <f>COUNT(102,$AF$248:AF282)-1</f>
        <v>35</v>
      </c>
      <c r="AF282" s="50">
        <v>1</v>
      </c>
    </row>
    <row r="283" spans="1:32" ht="21" customHeight="1">
      <c r="A283" s="988">
        <f>IF(Расходы_5[[#This Row],[КВР]]&gt;=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IF(SUBTOTAL(109,L268)&gt;0,SUBTOTAL(109,L268),
IF(SUBTOTAL(109,L266)&gt;0,SUBTOTAL(109,L266),
)))))))))))))))),1,0)</f>
        <v>1</v>
      </c>
      <c r="B283" s="989">
        <f>IF(Расходы_5[[#This Row],[КЦ]]&gt;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IF(SUBTOTAL(109,M268)&gt;0,SUBTOTAL(109,M268),
IF(SUBTOTAL(109,M266)&gt;0,SUBTOTAL(109,M266),
)))))))))))))))),1,0)</f>
        <v>0</v>
      </c>
      <c r="C283" s="989">
        <f>IF(Расходы_5[[#This Row],[КОСГУ]]&gt;
IF(SUBTOTAL(109,N282)&gt;0,SUBTOTAL(109,N282),
IF(SUBTOTAL(109,N281)&gt;0,SUBTOTAL(109,N281),
IF(SUBTOTAL(109,N280)&gt;0,SUBTOTAL(109,N280),
IF(SUBTOTAL(109,N279)&gt;0,SUBTOTAL(109,N279),
IF(SUBTOTAL(109,N278)&gt;0,SUBTOTAL(109,N278),
IF(SUBTOTAL(109,N277)&gt;0,SUBTOTAL(109,N277),
IF(SUBTOTAL(109,N276)&gt;0,SUBTOTAL(109,N276),
IF(SUBTOTAL(109,N275)&gt;0,SUBTOTAL(109,N275),
IF(SUBTOTAL(109,N274)&gt;0,SUBTOTAL(109,N274),
IF(SUBTOTAL(109,N273)&gt;0,SUBTOTAL(109,N273),
IF(SUBTOTAL(109,N272)&gt;0,SUBTOTAL(109,N272),
IF(SUBTOTAL(109,N271)&gt;0,SUBTOTAL(109,N271),
IF(SUBTOTAL(109,N270)&gt;0,SUBTOTAL(109,N270),
IF(SUBTOTAL(109,N269)&gt;0,SUBTOTAL(109,N269),
IF(SUBTOTAL(109,N268)&gt;0,SUBTOTAL(109,N268),
IF(SUBTOTAL(109,N266)&gt;0,SUBTOTAL(109,N266),
)))))))))))))))),1,0)</f>
        <v>1</v>
      </c>
      <c r="D283" s="989">
        <f>IF(Расходы_5[[#This Row],[КВР]]&gt;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IF(SUBTOTAL(109,L268)&gt;0,SUBTOTAL(109,L268),
IF(SUBTOTAL(109,L266)&gt;0,SUBTOTAL(109,L266),
)))))))))))))))),1,0)</f>
        <v>0</v>
      </c>
      <c r="E283" s="989">
        <f>IF(Расходы_5[[#This Row],[КЦ]]&gt;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IF(SUBTOTAL(109,M268)&gt;0,SUBTOTAL(109,M268),
IF(SUBTOTAL(109,M266)&gt;0,SUBTOTAL(109,M266),
)))))))))))))))),1,0)</f>
        <v>0</v>
      </c>
      <c r="F283" s="989">
        <f>IF(Расходы_5[[#This Row],[КОСГУ]]&gt;
IF(SUBTOTAL(109,N282)&gt;0,SUBTOTAL(109,N282),
IF(SUBTOTAL(109,N281)&gt;0,SUBTOTAL(109,N281),
IF(SUBTOTAL(109,N280)&gt;0,SUBTOTAL(109,N280),
IF(SUBTOTAL(109,N279)&gt;0,SUBTOTAL(109,N279),
IF(SUBTOTAL(109,N278)&gt;0,SUBTOTAL(109,N278),
IF(SUBTOTAL(109,N277)&gt;0,SUBTOTAL(109,N277))))))),1,0)</f>
        <v>1</v>
      </c>
      <c r="G283" s="989" t="e">
        <f ca="1">_xlfn.AGGREGATE(9,5,$D$261:D283)</f>
        <v>#NAME?</v>
      </c>
      <c r="H283" s="989" t="e">
        <f ca="1">_xlfn.AGGREGATE(9,5,$E$261:E283)</f>
        <v>#NAME?</v>
      </c>
      <c r="I283" s="989" t="e">
        <f ca="1">_xlfn.AGGREGATE(9,5,$F$261:F283)</f>
        <v>#NAME?</v>
      </c>
      <c r="J283" s="970" t="str">
        <f>IF(SUM(Расходы_5[[#This Row],[2 025]:[2 027]])=0,"000",".")</f>
        <v>000</v>
      </c>
      <c r="K283" s="965">
        <v>5</v>
      </c>
      <c r="L283" s="908">
        <v>244</v>
      </c>
      <c r="M283" s="908"/>
      <c r="N283" s="908">
        <v>343</v>
      </c>
      <c r="O283" s="967"/>
      <c r="P283" s="967"/>
      <c r="Q283" s="967"/>
      <c r="R283" s="1238" t="s">
        <v>249</v>
      </c>
      <c r="W283" s="50"/>
      <c r="X283" s="50"/>
      <c r="AE283" s="50">
        <f>COUNT(102,$AF$248:AF283)-1</f>
        <v>36</v>
      </c>
      <c r="AF283" s="50">
        <v>1</v>
      </c>
    </row>
    <row r="284" spans="1:32" ht="21" customHeight="1">
      <c r="A284" s="988">
        <f>IF(Расходы_5[[#This Row],[КВР]]&gt;=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IF(SUBTOTAL(109,L268)&gt;0,SUBTOTAL(109,L268),
)))))))))))))))),1,0)</f>
        <v>1</v>
      </c>
      <c r="B284" s="989">
        <f>IF(Расходы_5[[#This Row],[КЦ]]&gt;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IF(SUBTOTAL(109,M268)&gt;0,SUBTOTAL(109,M268),
)))))))))))))))),1,0)</f>
        <v>0</v>
      </c>
      <c r="C284" s="989">
        <f>IF(Расходы_5[[#This Row],[КОСГУ]]&gt;
IF(SUBTOTAL(109,N283)&gt;0,SUBTOTAL(109,N283),
IF(SUBTOTAL(109,N282)&gt;0,SUBTOTAL(109,N282),
IF(SUBTOTAL(109,N281)&gt;0,SUBTOTAL(109,N281),
IF(SUBTOTAL(109,N280)&gt;0,SUBTOTAL(109,N280),
IF(SUBTOTAL(109,N279)&gt;0,SUBTOTAL(109,N279),
IF(SUBTOTAL(109,N278)&gt;0,SUBTOTAL(109,N278),
IF(SUBTOTAL(109,N277)&gt;0,SUBTOTAL(109,N277),
IF(SUBTOTAL(109,N276)&gt;0,SUBTOTAL(109,N276),
IF(SUBTOTAL(109,N275)&gt;0,SUBTOTAL(109,N275),
IF(SUBTOTAL(109,N274)&gt;0,SUBTOTAL(109,N274),
IF(SUBTOTAL(109,N273)&gt;0,SUBTOTAL(109,N273),
IF(SUBTOTAL(109,N272)&gt;0,SUBTOTAL(109,N272),
IF(SUBTOTAL(109,N271)&gt;0,SUBTOTAL(109,N271),
IF(SUBTOTAL(109,N270)&gt;0,SUBTOTAL(109,N270),
IF(SUBTOTAL(109,N269)&gt;0,SUBTOTAL(109,N269),
IF(SUBTOTAL(109,N268)&gt;0,SUBTOTAL(109,N268),
)))))))))))))))),1,0)</f>
        <v>1</v>
      </c>
      <c r="D284" s="989">
        <f>IF(Расходы_5[[#This Row],[КВР]]&gt;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IF(SUBTOTAL(109,L268)&gt;0,SUBTOTAL(109,L268),
)))))))))))))))),1,0)</f>
        <v>0</v>
      </c>
      <c r="E284" s="989">
        <f>IF(Расходы_5[[#This Row],[КЦ]]&gt;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IF(SUBTOTAL(109,M268)&gt;0,SUBTOTAL(109,M268),
)))))))))))))))),1,0)</f>
        <v>0</v>
      </c>
      <c r="F284" s="989">
        <f>IF(Расходы_5[[#This Row],[КОСГУ]]&gt;
IF(SUBTOTAL(109,N283)&gt;0,SUBTOTAL(109,N283),
IF(SUBTOTAL(109,N282)&gt;0,SUBTOTAL(109,N282),
IF(SUBTOTAL(109,N281)&gt;0,SUBTOTAL(109,N281),
IF(SUBTOTAL(109,N280)&gt;0,SUBTOTAL(109,N280),
IF(SUBTOTAL(109,N279)&gt;0,SUBTOTAL(109,N279),
IF(SUBTOTAL(109,N278)&gt;0,SUBTOTAL(109,N278))))))),1,0)</f>
        <v>1</v>
      </c>
      <c r="G284" s="989" t="e">
        <f ca="1">_xlfn.AGGREGATE(9,5,$D$261:D284)</f>
        <v>#NAME?</v>
      </c>
      <c r="H284" s="989" t="e">
        <f ca="1">_xlfn.AGGREGATE(9,5,$E$261:E284)</f>
        <v>#NAME?</v>
      </c>
      <c r="I284" s="989" t="e">
        <f ca="1">_xlfn.AGGREGATE(9,5,$F$261:F284)</f>
        <v>#NAME?</v>
      </c>
      <c r="J284" s="970" t="str">
        <f>IF(SUM(Расходы_5[[#This Row],[2 025]:[2 027]])=0,"000",".")</f>
        <v>000</v>
      </c>
      <c r="K284" s="965">
        <v>5</v>
      </c>
      <c r="L284" s="908">
        <v>244</v>
      </c>
      <c r="M284" s="908"/>
      <c r="N284" s="908">
        <v>344</v>
      </c>
      <c r="O284" s="967"/>
      <c r="P284" s="967"/>
      <c r="Q284" s="967"/>
      <c r="R284" s="1238" t="s">
        <v>250</v>
      </c>
      <c r="W284" s="50"/>
      <c r="X284" s="50"/>
      <c r="AE284" s="50">
        <f>COUNT(102,$AF$248:AF284)-1</f>
        <v>37</v>
      </c>
      <c r="AF284" s="50">
        <v>1</v>
      </c>
    </row>
    <row r="285" spans="1:32" ht="21" customHeight="1">
      <c r="A285" s="988">
        <f>IF(Расходы_5[[#This Row],[КВР]]&gt;=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)))))))))))))))),1,0)</f>
        <v>1</v>
      </c>
      <c r="B285" s="989">
        <f>IF(Расходы_5[[#This Row],[КЦ]]&gt;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)))))))))))))))),1,0)</f>
        <v>0</v>
      </c>
      <c r="C285" s="989">
        <f>IF(Расходы_5[[#This Row],[КОСГУ]]&gt;
IF(SUBTOTAL(109,N284)&gt;0,SUBTOTAL(109,N284),
IF(SUBTOTAL(109,N283)&gt;0,SUBTOTAL(109,N283),
IF(SUBTOTAL(109,N282)&gt;0,SUBTOTAL(109,N282),
IF(SUBTOTAL(109,N281)&gt;0,SUBTOTAL(109,N281),
IF(SUBTOTAL(109,N280)&gt;0,SUBTOTAL(109,N280),
IF(SUBTOTAL(109,N279)&gt;0,SUBTOTAL(109,N279),
IF(SUBTOTAL(109,N278)&gt;0,SUBTOTAL(109,N278),
IF(SUBTOTAL(109,N277)&gt;0,SUBTOTAL(109,N277),
IF(SUBTOTAL(109,N276)&gt;0,SUBTOTAL(109,N276),
IF(SUBTOTAL(109,N275)&gt;0,SUBTOTAL(109,N275),
IF(SUBTOTAL(109,N274)&gt;0,SUBTOTAL(109,N274),
IF(SUBTOTAL(109,N273)&gt;0,SUBTOTAL(109,N273),
IF(SUBTOTAL(109,N272)&gt;0,SUBTOTAL(109,N272),
IF(SUBTOTAL(109,N271)&gt;0,SUBTOTAL(109,N271),
IF(SUBTOTAL(109,N270)&gt;0,SUBTOTAL(109,N270),
IF(SUBTOTAL(109,N269)&gt;0,SUBTOTAL(109,N269),
)))))))))))))))),1,0)</f>
        <v>1</v>
      </c>
      <c r="D285" s="989">
        <f>IF(Расходы_5[[#This Row],[КВР]]&gt;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IF(SUBTOTAL(109,L269)&gt;0,SUBTOTAL(109,L269),
)))))))))))))))),1,0)</f>
        <v>0</v>
      </c>
      <c r="E285" s="989">
        <f>IF(Расходы_5[[#This Row],[КЦ]]&gt;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IF(SUBTOTAL(109,M269)&gt;0,SUBTOTAL(109,M269),
)))))))))))))))),1,0)</f>
        <v>0</v>
      </c>
      <c r="F285" s="989">
        <f>IF(Расходы_5[[#This Row],[КОСГУ]]&gt;
IF(SUBTOTAL(109,N284)&gt;0,SUBTOTAL(109,N284),
IF(SUBTOTAL(109,N283)&gt;0,SUBTOTAL(109,N283),
IF(SUBTOTAL(109,N282)&gt;0,SUBTOTAL(109,N282),
IF(SUBTOTAL(109,N281)&gt;0,SUBTOTAL(109,N281),
IF(SUBTOTAL(109,N280)&gt;0,SUBTOTAL(109,N280),
IF(SUBTOTAL(109,N279)&gt;0,SUBTOTAL(109,N279))))))),1,0)</f>
        <v>1</v>
      </c>
      <c r="G285" s="989" t="e">
        <f ca="1">_xlfn.AGGREGATE(9,5,$D$261:D285)</f>
        <v>#NAME?</v>
      </c>
      <c r="H285" s="989" t="e">
        <f ca="1">_xlfn.AGGREGATE(9,5,$E$261:E285)</f>
        <v>#NAME?</v>
      </c>
      <c r="I285" s="989" t="e">
        <f ca="1">_xlfn.AGGREGATE(9,5,$F$261:F285)</f>
        <v>#NAME?</v>
      </c>
      <c r="J285" s="970" t="str">
        <f>IF(SUM(Расходы_5[[#This Row],[2 025]:[2 027]])=0,"000",".")</f>
        <v>000</v>
      </c>
      <c r="K285" s="965">
        <v>5</v>
      </c>
      <c r="L285" s="908">
        <v>244</v>
      </c>
      <c r="M285" s="908"/>
      <c r="N285" s="908">
        <v>345</v>
      </c>
      <c r="O285" s="967"/>
      <c r="P285" s="967"/>
      <c r="Q285" s="967"/>
      <c r="R285" s="1238" t="s">
        <v>251</v>
      </c>
      <c r="W285" s="50"/>
      <c r="X285" s="50"/>
      <c r="AE285" s="50">
        <f>COUNT(102,$AF$248:AF285)-1</f>
        <v>38</v>
      </c>
      <c r="AF285" s="50">
        <v>1</v>
      </c>
    </row>
    <row r="286" spans="1:32" ht="21" customHeight="1">
      <c r="A286" s="988">
        <f>IF(Расходы_5[[#This Row],[КВР]]&gt;=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)))))))))))))))),1,0)</f>
        <v>1</v>
      </c>
      <c r="B286" s="989">
        <f>IF(Расходы_5[[#This Row],[КЦ]]&gt;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)))))))))))))))),1,0)</f>
        <v>0</v>
      </c>
      <c r="C286" s="989">
        <f>IF(Расходы_5[[#This Row],[КОСГУ]]&gt;
IF(SUBTOTAL(109,N285)&gt;0,SUBTOTAL(109,N285),
IF(SUBTOTAL(109,N284)&gt;0,SUBTOTAL(109,N284),
IF(SUBTOTAL(109,N283)&gt;0,SUBTOTAL(109,N283),
IF(SUBTOTAL(109,N282)&gt;0,SUBTOTAL(109,N282),
IF(SUBTOTAL(109,N281)&gt;0,SUBTOTAL(109,N281),
IF(SUBTOTAL(109,N280)&gt;0,SUBTOTAL(109,N280),
IF(SUBTOTAL(109,N279)&gt;0,SUBTOTAL(109,N279),
IF(SUBTOTAL(109,N278)&gt;0,SUBTOTAL(109,N278),
IF(SUBTOTAL(109,N277)&gt;0,SUBTOTAL(109,N277),
IF(SUBTOTAL(109,N276)&gt;0,SUBTOTAL(109,N276),
IF(SUBTOTAL(109,N275)&gt;0,SUBTOTAL(109,N275),
IF(SUBTOTAL(109,N274)&gt;0,SUBTOTAL(109,N274),
IF(SUBTOTAL(109,N273)&gt;0,SUBTOTAL(109,N273),
IF(SUBTOTAL(109,N272)&gt;0,SUBTOTAL(109,N272),
IF(SUBTOTAL(109,N271)&gt;0,SUBTOTAL(109,N271),
IF(SUBTOTAL(109,N270)&gt;0,SUBTOTAL(109,N270),
)))))))))))))))),1,0)</f>
        <v>1</v>
      </c>
      <c r="D286" s="989">
        <f>IF(Расходы_5[[#This Row],[КВР]]&gt;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IF(SUBTOTAL(109,L270)&gt;0,SUBTOTAL(109,L270),
)))))))))))))))),1,0)</f>
        <v>0</v>
      </c>
      <c r="E286" s="989">
        <f>IF(Расходы_5[[#This Row],[КЦ]]&gt;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IF(SUBTOTAL(109,M270)&gt;0,SUBTOTAL(109,M270),
)))))))))))))))),1,0)</f>
        <v>0</v>
      </c>
      <c r="F286" s="989">
        <f>IF(Расходы_5[[#This Row],[КОСГУ]]&gt;
IF(SUBTOTAL(109,N285)&gt;0,SUBTOTAL(109,N285),
IF(SUBTOTAL(109,N284)&gt;0,SUBTOTAL(109,N284),
IF(SUBTOTAL(109,N283)&gt;0,SUBTOTAL(109,N283),
IF(SUBTOTAL(109,N282)&gt;0,SUBTOTAL(109,N282),
IF(SUBTOTAL(109,N281)&gt;0,SUBTOTAL(109,N281),
IF(SUBTOTAL(109,N280)&gt;0,SUBTOTAL(109,N280))))))),1,0)</f>
        <v>1</v>
      </c>
      <c r="G286" s="989" t="e">
        <f ca="1">_xlfn.AGGREGATE(9,5,$D$261:D286)</f>
        <v>#NAME?</v>
      </c>
      <c r="H286" s="989" t="e">
        <f ca="1">_xlfn.AGGREGATE(9,5,$E$261:E286)</f>
        <v>#NAME?</v>
      </c>
      <c r="I286" s="989" t="e">
        <f ca="1">_xlfn.AGGREGATE(9,5,$F$261:F286)</f>
        <v>#NAME?</v>
      </c>
      <c r="J286" s="970" t="str">
        <f>IF(SUM(Расходы_5[[#This Row],[2 025]:[2 027]])=0,"000",".")</f>
        <v>000</v>
      </c>
      <c r="K286" s="965">
        <v>5</v>
      </c>
      <c r="L286" s="908">
        <v>244</v>
      </c>
      <c r="M286" s="908"/>
      <c r="N286" s="908">
        <v>346</v>
      </c>
      <c r="O286" s="967"/>
      <c r="P286" s="967"/>
      <c r="Q286" s="967"/>
      <c r="R286" s="1238" t="s">
        <v>252</v>
      </c>
      <c r="U286" s="62"/>
      <c r="V286" s="62"/>
      <c r="W286" s="50"/>
      <c r="X286" s="50"/>
      <c r="AE286" s="50">
        <f>COUNT(102,$AF$248:AF286)-1</f>
        <v>39</v>
      </c>
      <c r="AF286" s="50">
        <v>1</v>
      </c>
    </row>
    <row r="287" spans="1:32" ht="21" customHeight="1">
      <c r="A287" s="988">
        <f>IF(Расходы_5[[#This Row],[КВР]]&gt;=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)))))))))))))))),1,0)</f>
        <v>1</v>
      </c>
      <c r="B287" s="989">
        <f>IF(Расходы_5[[#This Row],[КЦ]]&gt;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)))))))))))))))),1,0)</f>
        <v>0</v>
      </c>
      <c r="C287" s="989">
        <f>IF(Расходы_5[[#This Row],[КОСГУ]]&gt;
IF(SUBTOTAL(109,N286)&gt;0,SUBTOTAL(109,N286),
IF(SUBTOTAL(109,N285)&gt;0,SUBTOTAL(109,N285),
IF(SUBTOTAL(109,N284)&gt;0,SUBTOTAL(109,N284),
IF(SUBTOTAL(109,N283)&gt;0,SUBTOTAL(109,N283),
IF(SUBTOTAL(109,N282)&gt;0,SUBTOTAL(109,N282),
IF(SUBTOTAL(109,N281)&gt;0,SUBTOTAL(109,N281),
IF(SUBTOTAL(109,N280)&gt;0,SUBTOTAL(109,N280),
IF(SUBTOTAL(109,N279)&gt;0,SUBTOTAL(109,N279),
IF(SUBTOTAL(109,N278)&gt;0,SUBTOTAL(109,N278),
IF(SUBTOTAL(109,N277)&gt;0,SUBTOTAL(109,N277),
IF(SUBTOTAL(109,N276)&gt;0,SUBTOTAL(109,N276),
IF(SUBTOTAL(109,N275)&gt;0,SUBTOTAL(109,N275),
IF(SUBTOTAL(109,N274)&gt;0,SUBTOTAL(109,N274),
IF(SUBTOTAL(109,N273)&gt;0,SUBTOTAL(109,N273),
IF(SUBTOTAL(109,N272)&gt;0,SUBTOTAL(109,N272),
IF(SUBTOTAL(109,N271)&gt;0,SUBTOTAL(109,N271),
)))))))))))))))),1,0)</f>
        <v>1</v>
      </c>
      <c r="D287" s="989">
        <f>IF(Расходы_5[[#This Row],[КВР]]&gt;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IF(SUBTOTAL(109,L271)&gt;0,SUBTOTAL(109,L271),
)))))))))))))))),1,0)</f>
        <v>0</v>
      </c>
      <c r="E287" s="989">
        <f>IF(Расходы_5[[#This Row],[КЦ]]&gt;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IF(SUBTOTAL(109,M271)&gt;0,SUBTOTAL(109,M271),
)))))))))))))))),1,0)</f>
        <v>0</v>
      </c>
      <c r="F287" s="989">
        <f>IF(Расходы_5[[#This Row],[КОСГУ]]&gt;
IF(SUBTOTAL(109,N286)&gt;0,SUBTOTAL(109,N286),
IF(SUBTOTAL(109,N285)&gt;0,SUBTOTAL(109,N285),
IF(SUBTOTAL(109,N284)&gt;0,SUBTOTAL(109,N284),
IF(SUBTOTAL(109,N283)&gt;0,SUBTOTAL(109,N283),
IF(SUBTOTAL(109,N282)&gt;0,SUBTOTAL(109,N282),
IF(SUBTOTAL(109,N281)&gt;0,SUBTOTAL(109,N281))))))),1,0)</f>
        <v>1</v>
      </c>
      <c r="G287" s="989" t="e">
        <f ca="1">_xlfn.AGGREGATE(9,5,$D$261:D287)</f>
        <v>#NAME?</v>
      </c>
      <c r="H287" s="989" t="e">
        <f ca="1">_xlfn.AGGREGATE(9,5,$E$261:E287)</f>
        <v>#NAME?</v>
      </c>
      <c r="I287" s="989" t="e">
        <f ca="1">_xlfn.AGGREGATE(9,5,$F$261:F287)</f>
        <v>#NAME?</v>
      </c>
      <c r="J287" s="970" t="str">
        <f>IF(SUM(Расходы_5[[#This Row],[2 025]:[2 027]])=0,"000",".")</f>
        <v>000</v>
      </c>
      <c r="K287" s="965">
        <v>5</v>
      </c>
      <c r="L287" s="908">
        <v>244</v>
      </c>
      <c r="M287" s="908"/>
      <c r="N287" s="908">
        <v>347</v>
      </c>
      <c r="O287" s="967"/>
      <c r="P287" s="967"/>
      <c r="Q287" s="967"/>
      <c r="R287" s="1238" t="s">
        <v>253</v>
      </c>
      <c r="U287" s="62"/>
      <c r="V287" s="62"/>
      <c r="W287" s="50"/>
      <c r="X287" s="50"/>
      <c r="AE287" s="50">
        <f>COUNT(102,$AF$248:AF287)-1</f>
        <v>40</v>
      </c>
      <c r="AF287" s="50">
        <v>1</v>
      </c>
    </row>
    <row r="288" spans="1:32" ht="21" customHeight="1">
      <c r="A288" s="988">
        <f>IF(Расходы_5[[#This Row],[КВР]]&gt;=
IF(SUBTOTAL(109,L287)&gt;0,SUBTOTAL(109,L287),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)))))))))))))))),1,0)</f>
        <v>1</v>
      </c>
      <c r="B288" s="989">
        <f>IF(Расходы_5[[#This Row],[КЦ]]&gt;
IF(SUBTOTAL(109,M287)&gt;0,SUBTOTAL(109,M287),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)))))))))))))))),1,0)</f>
        <v>0</v>
      </c>
      <c r="C288" s="989">
        <f>IF(Расходы_5[[#This Row],[КОСГУ]]&gt;
IF(SUBTOTAL(109,N287)&gt;0,SUBTOTAL(109,N287),
IF(SUBTOTAL(109,N286)&gt;0,SUBTOTAL(109,N286),
IF(SUBTOTAL(109,N285)&gt;0,SUBTOTAL(109,N285),
IF(SUBTOTAL(109,N284)&gt;0,SUBTOTAL(109,N284),
IF(SUBTOTAL(109,N283)&gt;0,SUBTOTAL(109,N283),
IF(SUBTOTAL(109,N282)&gt;0,SUBTOTAL(109,N282),
IF(SUBTOTAL(109,N281)&gt;0,SUBTOTAL(109,N281),
IF(SUBTOTAL(109,N280)&gt;0,SUBTOTAL(109,N280),
IF(SUBTOTAL(109,N279)&gt;0,SUBTOTAL(109,N279),
IF(SUBTOTAL(109,N278)&gt;0,SUBTOTAL(109,N278),
IF(SUBTOTAL(109,N277)&gt;0,SUBTOTAL(109,N277),
IF(SUBTOTAL(109,N276)&gt;0,SUBTOTAL(109,N276),
IF(SUBTOTAL(109,N275)&gt;0,SUBTOTAL(109,N275),
IF(SUBTOTAL(109,N274)&gt;0,SUBTOTAL(109,N274),
IF(SUBTOTAL(109,N273)&gt;0,SUBTOTAL(109,N273),
IF(SUBTOTAL(109,N272)&gt;0,SUBTOTAL(109,N272),
)))))))))))))))),1,0)</f>
        <v>1</v>
      </c>
      <c r="D288" s="989">
        <f>IF(Расходы_5[[#This Row],[КВР]]&gt;
IF(SUBTOTAL(109,L287)&gt;0,SUBTOTAL(109,L287),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IF(SUBTOTAL(109,L272)&gt;0,SUBTOTAL(109,L272),
)))))))))))))))),1,0)</f>
        <v>0</v>
      </c>
      <c r="E288" s="989">
        <f>IF(Расходы_5[[#This Row],[КЦ]]&gt;
IF(SUBTOTAL(109,M287)&gt;0,SUBTOTAL(109,M287),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IF(SUBTOTAL(109,M272)&gt;0,SUBTOTAL(109,M272),
)))))))))))))))),1,0)</f>
        <v>0</v>
      </c>
      <c r="F288" s="989">
        <f>IF(Расходы_5[[#This Row],[КОСГУ]]&gt;
IF(SUBTOTAL(109,N287)&gt;0,SUBTOTAL(109,N287),
IF(SUBTOTAL(109,N286)&gt;0,SUBTOTAL(109,N286),
IF(SUBTOTAL(109,N285)&gt;0,SUBTOTAL(109,N285),
IF(SUBTOTAL(109,N284)&gt;0,SUBTOTAL(109,N284),
IF(SUBTOTAL(109,N283)&gt;0,SUBTOTAL(109,N283),
IF(SUBTOTAL(109,N282)&gt;0,SUBTOTAL(109,N282))))))),1,0)</f>
        <v>1</v>
      </c>
      <c r="G288" s="989" t="e">
        <f ca="1">_xlfn.AGGREGATE(9,5,$D$261:D288)</f>
        <v>#NAME?</v>
      </c>
      <c r="H288" s="989" t="e">
        <f ca="1">_xlfn.AGGREGATE(9,5,$E$261:E288)</f>
        <v>#NAME?</v>
      </c>
      <c r="I288" s="989" t="e">
        <f ca="1">_xlfn.AGGREGATE(9,5,$F$261:F288)</f>
        <v>#NAME?</v>
      </c>
      <c r="J288" s="970" t="str">
        <f>IF(SUM(Расходы_5[[#This Row],[2 025]:[2 027]])=0,"000",".")</f>
        <v>000</v>
      </c>
      <c r="K288" s="965">
        <v>5</v>
      </c>
      <c r="L288" s="908">
        <v>244</v>
      </c>
      <c r="M288" s="908"/>
      <c r="N288" s="908">
        <v>349</v>
      </c>
      <c r="O288" s="967"/>
      <c r="P288" s="967"/>
      <c r="Q288" s="967"/>
      <c r="R288" s="1238" t="s">
        <v>254</v>
      </c>
      <c r="U288" s="62"/>
      <c r="V288" s="62"/>
      <c r="W288" s="50"/>
      <c r="X288" s="50"/>
      <c r="AE288" s="50">
        <f>COUNT(102,$AF$248:AF288)-1</f>
        <v>41</v>
      </c>
      <c r="AF288" s="50">
        <v>1</v>
      </c>
    </row>
    <row r="289" spans="1:32" ht="21" customHeight="1">
      <c r="A289" s="988">
        <f>IF(Расходы_5[[#This Row],[КВР]]&gt;=
IF(SUBTOTAL(109,L288)&gt;0,SUBTOTAL(109,L288),
IF(SUBTOTAL(109,L287)&gt;0,SUBTOTAL(109,L287),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)))))))))))))))),1,0)</f>
        <v>1</v>
      </c>
      <c r="B289" s="989">
        <f>IF(Расходы_5[[#This Row],[КЦ]]&gt;
IF(SUBTOTAL(109,M288)&gt;0,SUBTOTAL(109,M288),
IF(SUBTOTAL(109,M287)&gt;0,SUBTOTAL(109,M287),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)))))))))))))))),1,0)</f>
        <v>0</v>
      </c>
      <c r="C289" s="989">
        <f>IF(Расходы_5[[#This Row],[КОСГУ]]&gt;
IF(SUBTOTAL(109,N288)&gt;0,SUBTOTAL(109,N288),
IF(SUBTOTAL(109,N287)&gt;0,SUBTOTAL(109,N287),
IF(SUBTOTAL(109,N286)&gt;0,SUBTOTAL(109,N286),
IF(SUBTOTAL(109,N285)&gt;0,SUBTOTAL(109,N285),
IF(SUBTOTAL(109,N284)&gt;0,SUBTOTAL(109,N284),
IF(SUBTOTAL(109,N283)&gt;0,SUBTOTAL(109,N283),
IF(SUBTOTAL(109,N282)&gt;0,SUBTOTAL(109,N282),
IF(SUBTOTAL(109,N281)&gt;0,SUBTOTAL(109,N281),
IF(SUBTOTAL(109,N280)&gt;0,SUBTOTAL(109,N280),
IF(SUBTOTAL(109,N279)&gt;0,SUBTOTAL(109,N279),
IF(SUBTOTAL(109,N278)&gt;0,SUBTOTAL(109,N278),
IF(SUBTOTAL(109,N277)&gt;0,SUBTOTAL(109,N277),
IF(SUBTOTAL(109,N276)&gt;0,SUBTOTAL(109,N276),
IF(SUBTOTAL(109,N275)&gt;0,SUBTOTAL(109,N275),
IF(SUBTOTAL(109,N274)&gt;0,SUBTOTAL(109,N274),
IF(SUBTOTAL(109,N273)&gt;0,SUBTOTAL(109,N273),
)))))))))))))))),1,0)</f>
        <v>1</v>
      </c>
      <c r="D289" s="989">
        <f>IF(Расходы_5[[#This Row],[КВР]]&gt;
IF(SUBTOTAL(109,L288)&gt;0,SUBTOTAL(109,L288),
IF(SUBTOTAL(109,L287)&gt;0,SUBTOTAL(109,L287),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IF(SUBTOTAL(109,L273)&gt;0,SUBTOTAL(109,L273),
)))))))))))))))),1,0)</f>
        <v>0</v>
      </c>
      <c r="E289" s="989">
        <f>IF(Расходы_5[[#This Row],[КЦ]]&gt;
IF(SUBTOTAL(109,M288)&gt;0,SUBTOTAL(109,M288),
IF(SUBTOTAL(109,M287)&gt;0,SUBTOTAL(109,M287),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IF(SUBTOTAL(109,M273)&gt;0,SUBTOTAL(109,M273),
)))))))))))))))),1,0)</f>
        <v>0</v>
      </c>
      <c r="F289" s="989">
        <f>IF(Расходы_5[[#This Row],[КОСГУ]]&gt;
IF(SUBTOTAL(109,N288)&gt;0,SUBTOTAL(109,N288),
IF(SUBTOTAL(109,N287)&gt;0,SUBTOTAL(109,N287),
IF(SUBTOTAL(109,N286)&gt;0,SUBTOTAL(109,N286),
IF(SUBTOTAL(109,N285)&gt;0,SUBTOTAL(109,N285),
IF(SUBTOTAL(109,N284)&gt;0,SUBTOTAL(109,N284),
IF(SUBTOTAL(109,N283)&gt;0,SUBTOTAL(109,N283))))))),1,0)</f>
        <v>1</v>
      </c>
      <c r="G289" s="989" t="e">
        <f ca="1">_xlfn.AGGREGATE(9,5,$D$261:D289)</f>
        <v>#NAME?</v>
      </c>
      <c r="H289" s="989" t="e">
        <f ca="1">_xlfn.AGGREGATE(9,5,$E$261:E289)</f>
        <v>#NAME?</v>
      </c>
      <c r="I289" s="989" t="e">
        <f ca="1">_xlfn.AGGREGATE(9,5,$F$261:F289)</f>
        <v>#NAME?</v>
      </c>
      <c r="J289" s="970" t="str">
        <f>IF(SUM(Расходы_5[[#This Row],[2 025]:[2 027]])=0,"000",".")</f>
        <v>000</v>
      </c>
      <c r="K289" s="965">
        <v>5</v>
      </c>
      <c r="L289" s="908">
        <v>244</v>
      </c>
      <c r="M289" s="908"/>
      <c r="N289" s="908">
        <v>350</v>
      </c>
      <c r="O289" s="967"/>
      <c r="P289" s="967"/>
      <c r="Q289" s="967"/>
      <c r="R289" s="1238" t="s">
        <v>746</v>
      </c>
      <c r="U289" s="62"/>
      <c r="V289" s="62"/>
      <c r="W289" s="50"/>
      <c r="X289" s="50"/>
      <c r="AE289" s="50">
        <f>COUNT(102,$AF$248:AF289)-1</f>
        <v>42</v>
      </c>
      <c r="AF289" s="50">
        <v>1</v>
      </c>
    </row>
    <row r="290" spans="1:32" ht="21" customHeight="1">
      <c r="A290" s="988">
        <f>IF(Расходы_5[[#This Row],[КВР]]&gt;=
IF(SUBTOTAL(109,L289)&gt;0,SUBTOTAL(109,L289),
IF(SUBTOTAL(109,L288)&gt;0,SUBTOTAL(109,L288),
IF(SUBTOTAL(109,L287)&gt;0,SUBTOTAL(109,L287),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)))))))))))))))),1,0)</f>
        <v>1</v>
      </c>
      <c r="B290" s="989">
        <f>IF(Расходы_5[[#This Row],[КЦ]]&gt;
IF(SUBTOTAL(109,M289)&gt;0,SUBTOTAL(109,M289),
IF(SUBTOTAL(109,M288)&gt;0,SUBTOTAL(109,M288),
IF(SUBTOTAL(109,M287)&gt;0,SUBTOTAL(109,M287),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)))))))))))))))),1,0)</f>
        <v>0</v>
      </c>
      <c r="C290" s="989">
        <f>IF(Расходы_5[[#This Row],[КОСГУ]]&gt;
IF(SUBTOTAL(109,N289)&gt;0,SUBTOTAL(109,N289),
IF(SUBTOTAL(109,N288)&gt;0,SUBTOTAL(109,N288),
IF(SUBTOTAL(109,N287)&gt;0,SUBTOTAL(109,N287),
IF(SUBTOTAL(109,N286)&gt;0,SUBTOTAL(109,N286),
IF(SUBTOTAL(109,N285)&gt;0,SUBTOTAL(109,N285),
IF(SUBTOTAL(109,N284)&gt;0,SUBTOTAL(109,N284),
IF(SUBTOTAL(109,N283)&gt;0,SUBTOTAL(109,N283),
IF(SUBTOTAL(109,N282)&gt;0,SUBTOTAL(109,N282),
IF(SUBTOTAL(109,N281)&gt;0,SUBTOTAL(109,N281),
IF(SUBTOTAL(109,N280)&gt;0,SUBTOTAL(109,N280),
IF(SUBTOTAL(109,N279)&gt;0,SUBTOTAL(109,N279),
IF(SUBTOTAL(109,N278)&gt;0,SUBTOTAL(109,N278),
IF(SUBTOTAL(109,N277)&gt;0,SUBTOTAL(109,N277),
IF(SUBTOTAL(109,N276)&gt;0,SUBTOTAL(109,N276),
IF(SUBTOTAL(109,N275)&gt;0,SUBTOTAL(109,N275),
IF(SUBTOTAL(109,N274)&gt;0,SUBTOTAL(109,N274),
)))))))))))))))),1,0)</f>
        <v>0</v>
      </c>
      <c r="D290" s="989">
        <f>IF(Расходы_5[[#This Row],[КВР]]&gt;
IF(SUBTOTAL(109,L289)&gt;0,SUBTOTAL(109,L289),
IF(SUBTOTAL(109,L288)&gt;0,SUBTOTAL(109,L288),
IF(SUBTOTAL(109,L287)&gt;0,SUBTOTAL(109,L287),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IF(SUBTOTAL(109,L274)&gt;0,SUBTOTAL(109,L274),
)))))))))))))))),1,0)</f>
        <v>1</v>
      </c>
      <c r="E290" s="989">
        <f>IF(Расходы_5[[#This Row],[КЦ]]&gt;
IF(SUBTOTAL(109,M289)&gt;0,SUBTOTAL(109,M289),
IF(SUBTOTAL(109,M288)&gt;0,SUBTOTAL(109,M288),
IF(SUBTOTAL(109,M287)&gt;0,SUBTOTAL(109,M287),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IF(SUBTOTAL(109,M274)&gt;0,SUBTOTAL(109,M274),
)))))))))))))))),1,0)</f>
        <v>0</v>
      </c>
      <c r="F290" s="989">
        <f>IF(Расходы_5[[#This Row],[КОСГУ]]&gt;
IF(SUBTOTAL(109,N289)&gt;0,SUBTOTAL(109,N289),
IF(SUBTOTAL(109,N288)&gt;0,SUBTOTAL(109,N288),
IF(SUBTOTAL(109,N287)&gt;0,SUBTOTAL(109,N287),
IF(SUBTOTAL(109,N286)&gt;0,SUBTOTAL(109,N286),
IF(SUBTOTAL(109,N285)&gt;0,SUBTOTAL(109,N285),
IF(SUBTOTAL(109,N284)&gt;0,SUBTOTAL(109,N284))))))),1,0)</f>
        <v>0</v>
      </c>
      <c r="G290" s="989" t="e">
        <f ca="1">_xlfn.AGGREGATE(9,5,$D$261:D290)</f>
        <v>#NAME?</v>
      </c>
      <c r="H290" s="989" t="e">
        <f ca="1">_xlfn.AGGREGATE(9,5,$E$261:E290)</f>
        <v>#NAME?</v>
      </c>
      <c r="I290" s="989" t="e">
        <f ca="1">_xlfn.AGGREGATE(9,5,$F$261:F290)</f>
        <v>#NAME?</v>
      </c>
      <c r="J290" s="970" t="str">
        <f>IF(SUM(Расходы_5[[#This Row],[2 025]:[2 027]])=0,"000",".")</f>
        <v>.</v>
      </c>
      <c r="K290" s="965">
        <v>5</v>
      </c>
      <c r="L290" s="908">
        <v>321</v>
      </c>
      <c r="M290" s="908"/>
      <c r="N290" s="908">
        <v>264</v>
      </c>
      <c r="O290" s="967">
        <v>287086.34999999998</v>
      </c>
      <c r="P290" s="967"/>
      <c r="Q290" s="967"/>
      <c r="R290" s="1238" t="s">
        <v>256</v>
      </c>
      <c r="W290" s="50"/>
      <c r="X290" s="50"/>
      <c r="AE290" s="50">
        <f>COUNT(102,$AF$248:AF290)-1</f>
        <v>43</v>
      </c>
      <c r="AF290" s="50">
        <v>1</v>
      </c>
    </row>
    <row r="291" spans="1:32" ht="21" customHeight="1">
      <c r="A291" s="988">
        <f>IF(Расходы_5[[#This Row],[КВР]]&gt;=
IF(SUBTOTAL(109,L290)&gt;0,SUBTOTAL(109,L290),
IF(SUBTOTAL(109,L289)&gt;0,SUBTOTAL(109,L289),
IF(SUBTOTAL(109,L288)&gt;0,SUBTOTAL(109,L288),
IF(SUBTOTAL(109,L287)&gt;0,SUBTOTAL(109,L287),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)))))))))))))))),1,0)</f>
        <v>1</v>
      </c>
      <c r="B291" s="989">
        <f>IF(Расходы_5[[#This Row],[КЦ]]&gt;
IF(SUBTOTAL(109,M290)&gt;0,SUBTOTAL(109,M290),
IF(SUBTOTAL(109,M289)&gt;0,SUBTOTAL(109,M289),
IF(SUBTOTAL(109,M288)&gt;0,SUBTOTAL(109,M288),
IF(SUBTOTAL(109,M287)&gt;0,SUBTOTAL(109,M287),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)))))))))))))))),1,0)</f>
        <v>0</v>
      </c>
      <c r="C291" s="989">
        <f>IF(Расходы_5[[#This Row],[КОСГУ]]&gt;
IF(SUBTOTAL(109,N290)&gt;0,SUBTOTAL(109,N290),
IF(SUBTOTAL(109,N289)&gt;0,SUBTOTAL(109,N289),
IF(SUBTOTAL(109,N288)&gt;0,SUBTOTAL(109,N288),
IF(SUBTOTAL(109,N287)&gt;0,SUBTOTAL(109,N287),
IF(SUBTOTAL(109,N286)&gt;0,SUBTOTAL(109,N286),
IF(SUBTOTAL(109,N285)&gt;0,SUBTOTAL(109,N285),
IF(SUBTOTAL(109,N284)&gt;0,SUBTOTAL(109,N284),
IF(SUBTOTAL(109,N283)&gt;0,SUBTOTAL(109,N283),
IF(SUBTOTAL(109,N282)&gt;0,SUBTOTAL(109,N282),
IF(SUBTOTAL(109,N281)&gt;0,SUBTOTAL(109,N281),
IF(SUBTOTAL(109,N280)&gt;0,SUBTOTAL(109,N280),
IF(SUBTOTAL(109,N279)&gt;0,SUBTOTAL(109,N279),
IF(SUBTOTAL(109,N278)&gt;0,SUBTOTAL(109,N278),
IF(SUBTOTAL(109,N277)&gt;0,SUBTOTAL(109,N277),
IF(SUBTOTAL(109,N276)&gt;0,SUBTOTAL(109,N276),
IF(SUBTOTAL(109,N275)&gt;0,SUBTOTAL(109,N275),
)))))))))))))))),1,0)</f>
        <v>1</v>
      </c>
      <c r="D291" s="989">
        <f>IF(Расходы_5[[#This Row],[КВР]]&gt;
IF(SUBTOTAL(109,L290)&gt;0,SUBTOTAL(109,L290),
IF(SUBTOTAL(109,L289)&gt;0,SUBTOTAL(109,L289),
IF(SUBTOTAL(109,L288)&gt;0,SUBTOTAL(109,L288),
IF(SUBTOTAL(109,L287)&gt;0,SUBTOTAL(109,L287),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IF(SUBTOTAL(109,L275)&gt;0,SUBTOTAL(109,L275),
)))))))))))))))),1,0)</f>
        <v>0</v>
      </c>
      <c r="E291" s="989">
        <f>IF(Расходы_5[[#This Row],[КЦ]]&gt;
IF(SUBTOTAL(109,M290)&gt;0,SUBTOTAL(109,M290),
IF(SUBTOTAL(109,M289)&gt;0,SUBTOTAL(109,M289),
IF(SUBTOTAL(109,M288)&gt;0,SUBTOTAL(109,M288),
IF(SUBTOTAL(109,M287)&gt;0,SUBTOTAL(109,M287),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IF(SUBTOTAL(109,M275)&gt;0,SUBTOTAL(109,M275),
)))))))))))))))),1,0)</f>
        <v>0</v>
      </c>
      <c r="F291" s="989">
        <f>IF(Расходы_5[[#This Row],[КОСГУ]]&gt;
IF(SUBTOTAL(109,N290)&gt;0,SUBTOTAL(109,N290),
IF(SUBTOTAL(109,N289)&gt;0,SUBTOTAL(109,N289),
IF(SUBTOTAL(109,N288)&gt;0,SUBTOTAL(109,N288),
IF(SUBTOTAL(109,N287)&gt;0,SUBTOTAL(109,N287),
IF(SUBTOTAL(109,N286)&gt;0,SUBTOTAL(109,N286),
IF(SUBTOTAL(109,N285)&gt;0,SUBTOTAL(109,N285))))))),1,0)</f>
        <v>1</v>
      </c>
      <c r="G291" s="989" t="e">
        <f ca="1">_xlfn.AGGREGATE(9,5,$D$261:D291)</f>
        <v>#NAME?</v>
      </c>
      <c r="H291" s="989" t="e">
        <f ca="1">_xlfn.AGGREGATE(9,5,$E$261:E291)</f>
        <v>#NAME?</v>
      </c>
      <c r="I291" s="989" t="e">
        <f ca="1">_xlfn.AGGREGATE(9,5,$F$261:F291)</f>
        <v>#NAME?</v>
      </c>
      <c r="J291" s="970" t="str">
        <f>IF(SUM(Расходы_5[[#This Row],[2 025]:[2 027]])=0,"000",".")</f>
        <v>.</v>
      </c>
      <c r="K291" s="965">
        <v>5</v>
      </c>
      <c r="L291" s="908">
        <v>321</v>
      </c>
      <c r="M291" s="908"/>
      <c r="N291" s="908">
        <v>265</v>
      </c>
      <c r="O291" s="967">
        <f>91406.61-50008.59</f>
        <v>41398.020000000004</v>
      </c>
      <c r="P291" s="967"/>
      <c r="Q291" s="967"/>
      <c r="R291" s="1238" t="s">
        <v>255</v>
      </c>
      <c r="S291" s="1131"/>
      <c r="T291" s="50"/>
      <c r="U291" s="50"/>
      <c r="V291" s="50"/>
      <c r="W291" s="50"/>
      <c r="X291" s="50"/>
      <c r="AE291" s="50">
        <f>COUNT(102,$AF$248:AF291)-1</f>
        <v>44</v>
      </c>
      <c r="AF291" s="50">
        <v>1</v>
      </c>
    </row>
    <row r="292" spans="1:32" ht="21" customHeight="1">
      <c r="A292" s="990">
        <f>IF(Расходы_5[[#This Row],[КВР]]&gt;=
IF(SUBTOTAL(109,L291)&gt;0,SUBTOTAL(109,L291),
IF(SUBTOTAL(109,L290)&gt;0,SUBTOTAL(109,L290),
IF(SUBTOTAL(109,L289)&gt;0,SUBTOTAL(109,L289),
IF(SUBTOTAL(109,L288)&gt;0,SUBTOTAL(109,L288),
IF(SUBTOTAL(109,L287)&gt;0,SUBTOTAL(109,L287),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)))))))))))))))),1,0)</f>
        <v>1</v>
      </c>
      <c r="B292" s="991">
        <f>IF(Расходы_5[[#This Row],[КЦ]]&gt;
IF(SUBTOTAL(109,M291)&gt;0,SUBTOTAL(109,M291),
IF(SUBTOTAL(109,M290)&gt;0,SUBTOTAL(109,M290),
IF(SUBTOTAL(109,M289)&gt;0,SUBTOTAL(109,M289),
IF(SUBTOTAL(109,M288)&gt;0,SUBTOTAL(109,M288),
IF(SUBTOTAL(109,M287)&gt;0,SUBTOTAL(109,M287),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)))))))))))))))),1,0)</f>
        <v>0</v>
      </c>
      <c r="C292" s="991">
        <f>IF(Расходы_5[[#This Row],[КОСГУ]]&gt;
IF(SUBTOTAL(109,N291)&gt;0,SUBTOTAL(109,N291),
IF(SUBTOTAL(109,N290)&gt;0,SUBTOTAL(109,N290),
IF(SUBTOTAL(109,N289)&gt;0,SUBTOTAL(109,N289),
IF(SUBTOTAL(109,N288)&gt;0,SUBTOTAL(109,N288),
IF(SUBTOTAL(109,N287)&gt;0,SUBTOTAL(109,N287),
IF(SUBTOTAL(109,N286)&gt;0,SUBTOTAL(109,N286),
IF(SUBTOTAL(109,N285)&gt;0,SUBTOTAL(109,N285),
IF(SUBTOTAL(109,N284)&gt;0,SUBTOTAL(109,N284),
IF(SUBTOTAL(109,N283)&gt;0,SUBTOTAL(109,N283),
IF(SUBTOTAL(109,N282)&gt;0,SUBTOTAL(109,N282),
IF(SUBTOTAL(109,N281)&gt;0,SUBTOTAL(109,N281),
IF(SUBTOTAL(109,N280)&gt;0,SUBTOTAL(109,N280),
IF(SUBTOTAL(109,N279)&gt;0,SUBTOTAL(109,N279),
IF(SUBTOTAL(109,N278)&gt;0,SUBTOTAL(109,N278),
IF(SUBTOTAL(109,N277)&gt;0,SUBTOTAL(109,N277),
IF(SUBTOTAL(109,N276)&gt;0,SUBTOTAL(109,N276),
)))))))))))))))),1,0)</f>
        <v>1</v>
      </c>
      <c r="D292" s="991">
        <f>IF(Расходы_5[[#This Row],[КВР]]&gt;
IF(SUBTOTAL(109,L291)&gt;0,SUBTOTAL(109,L291),
IF(SUBTOTAL(109,L290)&gt;0,SUBTOTAL(109,L290),
IF(SUBTOTAL(109,L289)&gt;0,SUBTOTAL(109,L289),
IF(SUBTOTAL(109,L288)&gt;0,SUBTOTAL(109,L288),
IF(SUBTOTAL(109,L287)&gt;0,SUBTOTAL(109,L287),
IF(SUBTOTAL(109,L286)&gt;0,SUBTOTAL(109,L286),
IF(SUBTOTAL(109,L285)&gt;0,SUBTOTAL(109,L285),
IF(SUBTOTAL(109,L284)&gt;0,SUBTOTAL(109,L284),
IF(SUBTOTAL(109,L283)&gt;0,SUBTOTAL(109,L283),
IF(SUBTOTAL(109,L282)&gt;0,SUBTOTAL(109,L282),
IF(SUBTOTAL(109,L281)&gt;0,SUBTOTAL(109,L281),
IF(SUBTOTAL(109,L280)&gt;0,SUBTOTAL(109,L280),
IF(SUBTOTAL(109,L279)&gt;0,SUBTOTAL(109,L279),
IF(SUBTOTAL(109,L278)&gt;0,SUBTOTAL(109,L278),
IF(SUBTOTAL(109,L277)&gt;0,SUBTOTAL(109,L277),
IF(SUBTOTAL(109,L276)&gt;0,SUBTOTAL(109,L276),
)))))))))))))))),1,0)</f>
        <v>1</v>
      </c>
      <c r="E292" s="991">
        <f>IF(Расходы_5[[#This Row],[КЦ]]&gt;
IF(SUBTOTAL(109,M291)&gt;0,SUBTOTAL(109,M291),
IF(SUBTOTAL(109,M290)&gt;0,SUBTOTAL(109,M290),
IF(SUBTOTAL(109,M289)&gt;0,SUBTOTAL(109,M289),
IF(SUBTOTAL(109,M288)&gt;0,SUBTOTAL(109,M288),
IF(SUBTOTAL(109,M287)&gt;0,SUBTOTAL(109,M287),
IF(SUBTOTAL(109,M286)&gt;0,SUBTOTAL(109,M286),
IF(SUBTOTAL(109,M285)&gt;0,SUBTOTAL(109,M285),
IF(SUBTOTAL(109,M284)&gt;0,SUBTOTAL(109,M284),
IF(SUBTOTAL(109,M283)&gt;0,SUBTOTAL(109,M283),
IF(SUBTOTAL(109,M282)&gt;0,SUBTOTAL(109,M282),
IF(SUBTOTAL(109,M281)&gt;0,SUBTOTAL(109,M281),
IF(SUBTOTAL(109,M280)&gt;0,SUBTOTAL(109,M280),
IF(SUBTOTAL(109,M279)&gt;0,SUBTOTAL(109,M279),
IF(SUBTOTAL(109,M278)&gt;0,SUBTOTAL(109,M278),
IF(SUBTOTAL(109,M277)&gt;0,SUBTOTAL(109,M277),
IF(SUBTOTAL(109,M276)&gt;0,SUBTOTAL(109,M276),
)))))))))))))))),1,0)</f>
        <v>0</v>
      </c>
      <c r="F292" s="991">
        <f>IF(Расходы_5[[#This Row],[КОСГУ]]&gt;
IF(SUBTOTAL(109,N291)&gt;0,SUBTOTAL(109,N291),
IF(SUBTOTAL(109,N290)&gt;0,SUBTOTAL(109,N290),
IF(SUBTOTAL(109,N289)&gt;0,SUBTOTAL(109,N289),
IF(SUBTOTAL(109,N288)&gt;0,SUBTOTAL(109,N288),
IF(SUBTOTAL(109,N287)&gt;0,SUBTOTAL(109,N287),
IF(SUBTOTAL(109,N286)&gt;0,SUBTOTAL(109,N286))))))),1,0)</f>
        <v>1</v>
      </c>
      <c r="G292" s="991" t="e">
        <f ca="1">_xlfn.AGGREGATE(9,5,$D$261:D292)</f>
        <v>#NAME?</v>
      </c>
      <c r="H292" s="991" t="e">
        <f ca="1">_xlfn.AGGREGATE(9,5,$E$261:E292)</f>
        <v>#NAME?</v>
      </c>
      <c r="I292" s="991" t="e">
        <f ca="1">_xlfn.AGGREGATE(9,5,$F$261:F292)</f>
        <v>#NAME?</v>
      </c>
      <c r="J292" s="958" t="str">
        <f>IF(SUM(Расходы_5[[#This Row],[2 025]:[2 027]])=0,"000",".")</f>
        <v>000</v>
      </c>
      <c r="K292" s="965">
        <v>5</v>
      </c>
      <c r="L292" s="908">
        <v>350</v>
      </c>
      <c r="M292" s="908"/>
      <c r="N292" s="908">
        <v>296</v>
      </c>
      <c r="O292" s="967"/>
      <c r="P292" s="967"/>
      <c r="Q292" s="967"/>
      <c r="R292" s="1238" t="s">
        <v>263</v>
      </c>
      <c r="S292" s="1131"/>
      <c r="T292" s="50"/>
      <c r="U292" s="50"/>
      <c r="V292" s="50"/>
      <c r="W292" s="50"/>
      <c r="X292" s="50"/>
      <c r="AE292" s="50">
        <f>COUNT(102,$AF$248:AF292)-1</f>
        <v>45</v>
      </c>
      <c r="AF292" s="50">
        <v>1</v>
      </c>
    </row>
    <row r="293" spans="1:32" ht="21" customHeight="1">
      <c r="K293" s="912"/>
      <c r="L293" s="397"/>
      <c r="M293" s="403"/>
      <c r="N293" s="403"/>
      <c r="O293" s="919"/>
      <c r="P293" s="919"/>
      <c r="Q293" s="919"/>
      <c r="R293" s="920"/>
      <c r="S293" s="1131"/>
      <c r="T293" s="50"/>
      <c r="U293" s="50"/>
      <c r="V293" s="50"/>
      <c r="W293" s="50"/>
      <c r="X293" s="50"/>
      <c r="AE293" s="50">
        <f>COUNT(102,$AF$248:AF293)-1</f>
        <v>46</v>
      </c>
      <c r="AF293" s="50">
        <v>1</v>
      </c>
    </row>
    <row r="294" spans="1:32" ht="21" customHeight="1">
      <c r="J294" s="50"/>
      <c r="K294" s="50"/>
      <c r="L294" s="927"/>
      <c r="M294" s="927"/>
      <c r="N294" s="927"/>
      <c r="O294" s="937"/>
      <c r="P294" s="937"/>
      <c r="Q294" s="937"/>
      <c r="S294" s="1131"/>
      <c r="T294" s="50"/>
      <c r="U294" s="50"/>
      <c r="V294" s="50"/>
      <c r="W294" s="50"/>
      <c r="X294" s="50"/>
      <c r="AE294" s="50">
        <f>COUNT(102,$AF$248:AF294)-1</f>
        <v>47</v>
      </c>
      <c r="AF294" s="50">
        <v>1</v>
      </c>
    </row>
    <row r="295" spans="1:32" ht="21" customHeight="1">
      <c r="J295" s="50"/>
      <c r="K295" s="50"/>
      <c r="S295" s="1131"/>
      <c r="T295" s="50"/>
      <c r="U295" s="50"/>
      <c r="V295" s="50"/>
      <c r="W295" s="50"/>
      <c r="X295" s="50"/>
      <c r="AE295" s="50">
        <f>COUNT(102,$AF$248:AF295)-1</f>
        <v>48</v>
      </c>
      <c r="AF295" s="50">
        <v>1</v>
      </c>
    </row>
    <row r="296" spans="1:32" ht="21" customHeight="1">
      <c r="J296" s="50"/>
      <c r="K296" s="50"/>
      <c r="S296" s="1131"/>
      <c r="T296" s="50"/>
      <c r="U296" s="50"/>
      <c r="V296" s="50"/>
      <c r="W296" s="50"/>
      <c r="X296" s="50"/>
      <c r="AE296" s="50">
        <f>COUNT(102,$AF$248:AF296)-1</f>
        <v>49</v>
      </c>
      <c r="AF296" s="50">
        <v>1</v>
      </c>
    </row>
    <row r="297" spans="1:32" ht="21" customHeight="1">
      <c r="J297" s="50"/>
      <c r="K297" s="50"/>
      <c r="S297" s="1131"/>
      <c r="T297" s="50"/>
      <c r="U297" s="50"/>
      <c r="V297" s="50"/>
      <c r="W297" s="50"/>
      <c r="X297" s="50"/>
      <c r="AE297" s="50">
        <f>COUNT(102,$AF$248:AF297)-1</f>
        <v>50</v>
      </c>
      <c r="AF297" s="50">
        <v>1</v>
      </c>
    </row>
    <row r="298" spans="1:32" ht="21" customHeight="1">
      <c r="J298" s="50"/>
      <c r="K298" s="50"/>
      <c r="S298" s="1131"/>
      <c r="T298" s="50"/>
      <c r="U298" s="50"/>
      <c r="V298" s="50"/>
      <c r="W298" s="50"/>
      <c r="X298" s="50"/>
      <c r="AE298" s="50">
        <f>COUNT(102,$AF$248:AF298)-1</f>
        <v>51</v>
      </c>
      <c r="AF298" s="50">
        <v>1</v>
      </c>
    </row>
    <row r="299" spans="1:32" ht="21" customHeight="1">
      <c r="J299" s="50"/>
      <c r="K299" s="50"/>
      <c r="S299" s="1131"/>
      <c r="T299" s="50"/>
      <c r="U299" s="50"/>
      <c r="V299" s="50"/>
      <c r="W299" s="50"/>
      <c r="X299" s="50"/>
      <c r="AE299" s="50">
        <f>COUNT(102,$AF$248:AF299)-1</f>
        <v>52</v>
      </c>
      <c r="AF299" s="50">
        <v>1</v>
      </c>
    </row>
    <row r="300" spans="1:32" ht="21" customHeight="1">
      <c r="J300" s="50"/>
      <c r="K300" s="50"/>
      <c r="S300" s="1131"/>
      <c r="T300" s="50"/>
      <c r="U300" s="50"/>
      <c r="V300" s="50"/>
      <c r="W300" s="50"/>
      <c r="X300" s="50"/>
      <c r="AE300" s="50">
        <f>COUNT(102,$AF$248:AF300)-1</f>
        <v>53</v>
      </c>
      <c r="AF300" s="50">
        <v>1</v>
      </c>
    </row>
    <row r="301" spans="1:32" ht="21" customHeight="1">
      <c r="J301" s="50"/>
      <c r="K301" s="50"/>
      <c r="L301" s="938"/>
      <c r="M301" s="938"/>
      <c r="N301" s="938"/>
      <c r="O301" s="939"/>
      <c r="P301" s="940"/>
      <c r="Q301" s="940"/>
      <c r="R301" s="926"/>
      <c r="S301" s="1131"/>
      <c r="T301" s="50"/>
      <c r="U301" s="50"/>
      <c r="V301" s="50"/>
      <c r="W301" s="50"/>
      <c r="X301" s="50"/>
      <c r="AE301" s="50">
        <f>COUNT(102,$AF$248:AF301)-1</f>
        <v>54</v>
      </c>
      <c r="AF301" s="50">
        <v>1</v>
      </c>
    </row>
    <row r="302" spans="1:32" ht="21" customHeight="1">
      <c r="J302" s="50"/>
      <c r="K302" s="50"/>
      <c r="S302" s="1131"/>
      <c r="T302" s="50"/>
      <c r="U302" s="50"/>
      <c r="V302" s="50"/>
      <c r="W302" s="50"/>
      <c r="X302" s="50"/>
      <c r="AE302" s="50">
        <f>COUNT(102,$AF$248:AF302)-1</f>
        <v>55</v>
      </c>
      <c r="AF302" s="50">
        <v>1</v>
      </c>
    </row>
    <row r="303" spans="1:32" ht="21" customHeight="1">
      <c r="J303" s="50"/>
      <c r="K303" s="50"/>
      <c r="S303" s="1131"/>
      <c r="T303" s="50"/>
      <c r="U303" s="50"/>
      <c r="V303" s="50"/>
      <c r="W303" s="50"/>
      <c r="X303" s="50"/>
      <c r="AE303" s="50">
        <f>COUNT(102,$AF$248:AF303)-1</f>
        <v>56</v>
      </c>
      <c r="AF303" s="50">
        <v>1</v>
      </c>
    </row>
    <row r="304" spans="1:32" ht="21" customHeight="1">
      <c r="J304" s="50"/>
      <c r="K304" s="50"/>
      <c r="S304" s="1131"/>
      <c r="T304" s="50"/>
      <c r="U304" s="50"/>
      <c r="V304" s="50"/>
      <c r="W304" s="50"/>
      <c r="X304" s="50"/>
      <c r="AE304" s="50">
        <f>COUNT(102,$AF$248:AF304)-1</f>
        <v>57</v>
      </c>
      <c r="AF304" s="50">
        <v>1</v>
      </c>
    </row>
    <row r="305" spans="10:32" ht="21" customHeight="1">
      <c r="J305" s="50"/>
      <c r="K305" s="50"/>
      <c r="S305" s="1129"/>
      <c r="T305" s="58"/>
      <c r="W305" s="50"/>
      <c r="X305" s="50"/>
      <c r="AE305" s="50">
        <f>COUNT(102,$AF$248:AF305)-1</f>
        <v>58</v>
      </c>
      <c r="AF305" s="50">
        <v>1</v>
      </c>
    </row>
    <row r="306" spans="10:32" ht="21" customHeight="1">
      <c r="J306" s="50"/>
      <c r="K306" s="50"/>
      <c r="W306" s="50"/>
      <c r="X306" s="50"/>
      <c r="AE306" s="50">
        <f>COUNT(102,$AF$248:AF306)-1</f>
        <v>59</v>
      </c>
      <c r="AF306" s="50">
        <v>1</v>
      </c>
    </row>
    <row r="307" spans="10:32" ht="21" customHeight="1">
      <c r="J307" s="50"/>
      <c r="K307" s="50"/>
      <c r="W307" s="50"/>
      <c r="X307" s="50"/>
      <c r="AE307" s="50">
        <f>COUNT(102,$AF$248:AF307)-1</f>
        <v>60</v>
      </c>
      <c r="AF307" s="50">
        <v>1</v>
      </c>
    </row>
    <row r="308" spans="10:32" ht="18.75">
      <c r="J308" s="50"/>
      <c r="K308" s="50"/>
      <c r="L308" s="927"/>
      <c r="M308" s="927"/>
      <c r="N308" s="927"/>
      <c r="O308" s="941"/>
      <c r="P308" s="941"/>
      <c r="Q308" s="937"/>
      <c r="AE308" s="50">
        <f>COUNT(102,$AF$248:AF308)-1</f>
        <v>61</v>
      </c>
      <c r="AF308" s="50">
        <v>1</v>
      </c>
    </row>
    <row r="309" spans="10:32">
      <c r="J309" s="50"/>
      <c r="K309" s="50"/>
      <c r="P309" s="50"/>
      <c r="AE309" s="50">
        <f>COUNT(102,$AF$248:AF309)-1</f>
        <v>62</v>
      </c>
      <c r="AF309" s="50">
        <v>1</v>
      </c>
    </row>
    <row r="310" spans="10:32" ht="23.25" customHeight="1">
      <c r="J310" s="50"/>
      <c r="K310" s="50"/>
      <c r="U310" s="62"/>
      <c r="V310" s="62"/>
      <c r="W310" s="50"/>
      <c r="X310" s="50"/>
      <c r="AE310" s="50">
        <f>COUNT(102,$AF$248:AF310)-1</f>
        <v>63</v>
      </c>
      <c r="AF310" s="50">
        <v>1</v>
      </c>
    </row>
    <row r="311" spans="10:32">
      <c r="J311" s="50"/>
      <c r="K311" s="50"/>
      <c r="AE311" s="50">
        <f>COUNT(102,$AF$248:AF311)-1</f>
        <v>64</v>
      </c>
      <c r="AF311" s="50">
        <v>1</v>
      </c>
    </row>
    <row r="312" spans="10:32">
      <c r="J312" s="50"/>
      <c r="K312" s="50"/>
      <c r="AE312" s="50">
        <f>COUNT(102,$AF$248:AF312)-1</f>
        <v>65</v>
      </c>
      <c r="AF312" s="50">
        <v>1</v>
      </c>
    </row>
    <row r="313" spans="10:32">
      <c r="J313" s="50"/>
      <c r="K313" s="50"/>
      <c r="AE313" s="50">
        <f>COUNT(102,$AF$248:AF313)-1</f>
        <v>66</v>
      </c>
      <c r="AF313" s="50">
        <v>1</v>
      </c>
    </row>
    <row r="314" spans="10:32">
      <c r="J314" s="50"/>
      <c r="K314" s="50"/>
      <c r="AE314" s="50">
        <f>COUNT(102,$AF$248:AF314)-1</f>
        <v>67</v>
      </c>
      <c r="AF314" s="50">
        <v>1</v>
      </c>
    </row>
    <row r="315" spans="10:32">
      <c r="J315" s="50"/>
      <c r="K315" s="50"/>
      <c r="AE315" s="50">
        <f>COUNT(102,$AF$248:AF315)-1</f>
        <v>68</v>
      </c>
      <c r="AF315" s="50">
        <v>1</v>
      </c>
    </row>
    <row r="316" spans="10:32" ht="18.75">
      <c r="J316" s="50"/>
      <c r="K316" s="50"/>
      <c r="R316" s="926"/>
    </row>
    <row r="317" spans="10:32">
      <c r="J317" s="50"/>
      <c r="K317" s="50"/>
    </row>
    <row r="318" spans="10:32">
      <c r="J318" s="50"/>
      <c r="K318" s="50"/>
    </row>
    <row r="319" spans="10:32">
      <c r="J319" s="50"/>
      <c r="K319" s="50"/>
    </row>
    <row r="320" spans="10:32">
      <c r="J320" s="50"/>
      <c r="K320" s="50"/>
    </row>
    <row r="321" spans="10:18">
      <c r="J321" s="50"/>
      <c r="K321" s="50"/>
    </row>
    <row r="322" spans="10:18">
      <c r="J322" s="50"/>
      <c r="K322" s="50"/>
      <c r="L322" s="817"/>
      <c r="M322" s="817"/>
      <c r="O322" s="917"/>
      <c r="P322" s="914"/>
      <c r="Q322" s="914"/>
    </row>
    <row r="323" spans="10:18">
      <c r="J323" s="50"/>
      <c r="K323" s="50"/>
      <c r="L323" s="817"/>
      <c r="M323" s="817"/>
      <c r="O323" s="917"/>
      <c r="P323" s="914"/>
      <c r="Q323" s="914"/>
    </row>
    <row r="324" spans="10:18">
      <c r="J324" s="50"/>
      <c r="K324" s="50"/>
      <c r="R324" s="816"/>
    </row>
    <row r="325" spans="10:18">
      <c r="J325" s="50"/>
      <c r="K325" s="50"/>
      <c r="R325" s="816"/>
    </row>
    <row r="326" spans="10:18">
      <c r="J326" s="50"/>
      <c r="K326" s="50"/>
      <c r="R326" s="816"/>
    </row>
    <row r="329" spans="10:18" ht="18.75">
      <c r="J329" s="50"/>
      <c r="K329" s="50"/>
      <c r="L329" s="817"/>
      <c r="M329" s="817"/>
      <c r="O329" s="918"/>
      <c r="P329" s="780"/>
      <c r="Q329" s="780"/>
      <c r="R329" s="780"/>
    </row>
  </sheetData>
  <dataConsolidate/>
  <mergeCells count="22">
    <mergeCell ref="J259:R259"/>
    <mergeCell ref="J137:R137"/>
    <mergeCell ref="J67:R67"/>
    <mergeCell ref="J23:R23"/>
    <mergeCell ref="T47:U47"/>
    <mergeCell ref="T45:U45"/>
    <mergeCell ref="T46:U46"/>
    <mergeCell ref="J14:K14"/>
    <mergeCell ref="T139:U139"/>
    <mergeCell ref="Z1:Z4"/>
    <mergeCell ref="L4:N4"/>
    <mergeCell ref="T1:T4"/>
    <mergeCell ref="Y1:Y4"/>
    <mergeCell ref="J16:M16"/>
    <mergeCell ref="N16:Q16"/>
    <mergeCell ref="J8:M8"/>
    <mergeCell ref="J9:K9"/>
    <mergeCell ref="N8:Q8"/>
    <mergeCell ref="J10:K10"/>
    <mergeCell ref="J11:K11"/>
    <mergeCell ref="J12:K12"/>
    <mergeCell ref="J13:K13"/>
  </mergeCells>
  <conditionalFormatting sqref="O35:P35">
    <cfRule type="expression" dxfId="206" priority="311">
      <formula>$P$35&gt;$P$34</formula>
    </cfRule>
  </conditionalFormatting>
  <conditionalFormatting sqref="Q35">
    <cfRule type="expression" dxfId="205" priority="310">
      <formula>$Q$35&gt;$Q$34</formula>
    </cfRule>
  </conditionalFormatting>
  <conditionalFormatting sqref="K2:Q2">
    <cfRule type="cellIs" dxfId="204" priority="158" operator="notEqual">
      <formula>0</formula>
    </cfRule>
  </conditionalFormatting>
  <conditionalFormatting sqref="K1:Q1">
    <cfRule type="expression" dxfId="203" priority="156">
      <formula>K3&gt;0</formula>
    </cfRule>
    <cfRule type="expression" dxfId="202" priority="550">
      <formula>K2&gt;0</formula>
    </cfRule>
  </conditionalFormatting>
  <conditionalFormatting sqref="K3:Q3">
    <cfRule type="cellIs" dxfId="201" priority="155" operator="greaterThan">
      <formula>0</formula>
    </cfRule>
  </conditionalFormatting>
  <conditionalFormatting sqref="J25:R47">
    <cfRule type="expression" dxfId="200" priority="6">
      <formula>$K25=5</formula>
    </cfRule>
    <cfRule type="expression" dxfId="199" priority="7">
      <formula>$K25=4</formula>
    </cfRule>
  </conditionalFormatting>
  <conditionalFormatting sqref="V45:X47">
    <cfRule type="containsBlanks" dxfId="198" priority="5">
      <formula>LEN(TRIM(V45))=0</formula>
    </cfRule>
  </conditionalFormatting>
  <conditionalFormatting sqref="L10:M14 K18:M20 O18:Q20 O10:Q10">
    <cfRule type="containsBlanks" dxfId="197" priority="2">
      <formula>LEN(TRIM(K10))=0</formula>
    </cfRule>
  </conditionalFormatting>
  <conditionalFormatting sqref="L139:L238">
    <cfRule type="expression" dxfId="196" priority="588">
      <formula>$A$135="КВР"</formula>
    </cfRule>
  </conditionalFormatting>
  <conditionalFormatting sqref="N139:N238">
    <cfRule type="expression" dxfId="195" priority="589">
      <formula>$A$135="КОСГУ"</formula>
    </cfRule>
  </conditionalFormatting>
  <conditionalFormatting sqref="M139:M238">
    <cfRule type="expression" dxfId="194" priority="590">
      <formula>$A$135="КЦ"</formula>
    </cfRule>
  </conditionalFormatting>
  <conditionalFormatting sqref="A139:R238">
    <cfRule type="expression" dxfId="193" priority="591">
      <formula>AND($A$135="КОСГУ",ISEVEN($I139)=TRUE)</formula>
    </cfRule>
    <cfRule type="expression" dxfId="192" priority="592">
      <formula>AND($A$135="КЦ",ISEVEN($H139)=TRUE)</formula>
    </cfRule>
    <cfRule type="expression" dxfId="191" priority="593">
      <formula>AND($A$135="КВР",ISEVEN($G139)=TRUE)</formula>
    </cfRule>
    <cfRule type="expression" dxfId="190" priority="594">
      <formula>AND($A$135="КЦ",SUMPRODUCT(SUBTOTAL(103,OFFSET($M$137:$M139,ROW($M$137:$M139)-MIN(ROW($M$137:$M139)),,1)),--($M$137:$M139=$M139))=1)</formula>
    </cfRule>
    <cfRule type="expression" dxfId="189" priority="595">
      <formula>AND($A$135="КОСГУ",SUMPRODUCT(SUBTOTAL(103,OFFSET($N$137:$N139,ROW($N$137:$N139)-MIN(ROW($N$137:$N139)),,1)),--($N$137:$N139=$N139))=1)</formula>
    </cfRule>
    <cfRule type="expression" dxfId="188" priority="596">
      <formula>AND($A$135="КВР",SUMPRODUCT(SUBTOTAL(103,OFFSET($L$137:$L139,ROW($L$137:$L139)-MIN(ROW($L$137:$L139)),,1)),--($L$137:$L139=$L139))=1)</formula>
    </cfRule>
  </conditionalFormatting>
  <conditionalFormatting sqref="L138">
    <cfRule type="expression" dxfId="187" priority="597">
      <formula>$A$135="КВР"</formula>
    </cfRule>
  </conditionalFormatting>
  <conditionalFormatting sqref="M138">
    <cfRule type="expression" dxfId="186" priority="598">
      <formula>$A$135="КЦ"</formula>
    </cfRule>
  </conditionalFormatting>
  <conditionalFormatting sqref="N138">
    <cfRule type="expression" dxfId="185" priority="599">
      <formula>$A$135="КОСГУ"</formula>
    </cfRule>
  </conditionalFormatting>
  <conditionalFormatting sqref="L261:L292">
    <cfRule type="expression" dxfId="184" priority="600">
      <formula>$A$257="КВР"</formula>
    </cfRule>
  </conditionalFormatting>
  <conditionalFormatting sqref="M261:M292">
    <cfRule type="expression" dxfId="183" priority="601">
      <formula>$A$257="КЦ"</formula>
    </cfRule>
  </conditionalFormatting>
  <conditionalFormatting sqref="N261:N292">
    <cfRule type="expression" dxfId="182" priority="602">
      <formula>$A$257="КОСГУ"</formula>
    </cfRule>
  </conditionalFormatting>
  <conditionalFormatting sqref="A261:R292">
    <cfRule type="expression" dxfId="181" priority="603">
      <formula>AND($A$257="КОСГУ",ISEVEN($I261)=TRUE)</formula>
    </cfRule>
    <cfRule type="expression" dxfId="180" priority="604">
      <formula>AND($A$257="КВР",ISEVEN($G261)=TRUE)</formula>
    </cfRule>
    <cfRule type="expression" dxfId="179" priority="605">
      <formula>AND($A$257="КЦ",SUMPRODUCT(SUBTOTAL(103,OFFSET($M$259:$M261,ROW($M$259:$M261)-MIN(ROW($M$259:$M261)),,1)),--($M$259:$M261=$M261))=1)</formula>
    </cfRule>
    <cfRule type="expression" dxfId="178" priority="606">
      <formula>AND($A$257="КОСГУ",SUMPRODUCT(SUBTOTAL(103,OFFSET($N$259:$N261,ROW($N$259:$N261)-MIN(ROW($N$259:$N261)),,1)),--($N$259:$N261=$N261))=1)</formula>
    </cfRule>
    <cfRule type="expression" dxfId="177" priority="607">
      <formula>AND($A$257="КВР",SUMPRODUCT(SUBTOTAL(103,OFFSET($L$259:$L261,ROW($L$259:$L261)-MIN(ROW($L$259:$L261)),,1)),--($L$259:$L261=$L261))=1)</formula>
    </cfRule>
  </conditionalFormatting>
  <conditionalFormatting sqref="L260">
    <cfRule type="expression" dxfId="176" priority="608">
      <formula>$A$257="КВР"</formula>
    </cfRule>
  </conditionalFormatting>
  <conditionalFormatting sqref="M260">
    <cfRule type="expression" dxfId="175" priority="609">
      <formula>$A$257="КЦ"</formula>
    </cfRule>
  </conditionalFormatting>
  <conditionalFormatting sqref="N260">
    <cfRule type="expression" dxfId="174" priority="610">
      <formula>$A$257="КОСГУ"</formula>
    </cfRule>
  </conditionalFormatting>
  <conditionalFormatting sqref="L69:L115">
    <cfRule type="expression" dxfId="173" priority="611">
      <formula>$A$64="КВР"</formula>
    </cfRule>
  </conditionalFormatting>
  <conditionalFormatting sqref="N69:N115">
    <cfRule type="expression" dxfId="172" priority="612">
      <formula>$A$64="КОСГУ"</formula>
    </cfRule>
  </conditionalFormatting>
  <conditionalFormatting sqref="L68">
    <cfRule type="expression" dxfId="171" priority="613">
      <formula>$A$64="КВР"</formula>
    </cfRule>
  </conditionalFormatting>
  <conditionalFormatting sqref="M68">
    <cfRule type="expression" dxfId="170" priority="614">
      <formula>$A$64="КЦ"</formula>
    </cfRule>
  </conditionalFormatting>
  <conditionalFormatting sqref="N68">
    <cfRule type="expression" dxfId="169" priority="615">
      <formula>$A$64="КОСГУ"</formula>
    </cfRule>
  </conditionalFormatting>
  <conditionalFormatting sqref="A69:R115">
    <cfRule type="expression" dxfId="168" priority="616">
      <formula>AND($A$64="КОСГУ",ISEVEN($I69)=TRUE)</formula>
    </cfRule>
    <cfRule type="expression" dxfId="167" priority="617">
      <formula>AND($A$64="КВР",ISEVEN($G69)=TRUE)</formula>
    </cfRule>
    <cfRule type="expression" dxfId="166" priority="618">
      <formula>AND($A$64="КОСГУ",SUMPRODUCT(SUBTOTAL(103,OFFSET($N$67:$N69,ROW($N$67:$N69)-MIN(ROW($N$67:$N69)),,1)),--($N$67:$N69=$N69))=1)</formula>
    </cfRule>
    <cfRule type="expression" dxfId="165" priority="619">
      <formula>AND($A$64="КВР",SUMPRODUCT(SUBTOTAL(103,OFFSET($L$67:$L69,ROW($L$67:$L69)-MIN(ROW($L$67:$L69)),,1)),--($L$67:$L69=$L69))=1)</formula>
    </cfRule>
  </conditionalFormatting>
  <conditionalFormatting sqref="V2:X4">
    <cfRule type="expression" dxfId="164" priority="1">
      <formula>NOT(ROUND(V2,3)=0)</formula>
    </cfRule>
  </conditionalFormatting>
  <dataValidations count="2">
    <dataValidation type="list" allowBlank="1" showInputMessage="1" showErrorMessage="1" sqref="Z1">
      <formula1>"показать, скрыть"</formula1>
    </dataValidation>
    <dataValidation type="list" allowBlank="1" showInputMessage="1" showErrorMessage="1" sqref="X5">
      <formula1>$U$2:$U$4</formula1>
    </dataValidation>
  </dataValidations>
  <hyperlinks>
    <hyperlink ref="K1" location="доходы!A1" display="Доходы"/>
    <hyperlink ref="L1" location="'111'!Область_печати" display="'111'!Область_печати"/>
    <hyperlink ref="M1" location="'112, 113'!Область_печати" display="'112, 113'!Область_печати"/>
    <hyperlink ref="N1" location="'119, 321, 323, 350, 851, 852'!Область_печати" display="'119, 321, 323, 350, 851, 852'!Область_печати"/>
    <hyperlink ref="O1" location="'КФО 2'!Область_печати" display="КФО 2"/>
    <hyperlink ref="P1" location="'КФО 4'!Область_печати" display="КФО 4"/>
    <hyperlink ref="Q1" location="'КФО 5'!Область_печати" display="КФО 5"/>
    <hyperlink ref="R25" location="доходы!J21" display="Аренда"/>
    <hyperlink ref="R26" location="доходы!J61" display="Платные услуги"/>
    <hyperlink ref="R27" location="доходы!J65" display="ПФДО оздоровительные"/>
    <hyperlink ref="R28" location="доходы!J65" display="ПФДО платные услуги родителей"/>
    <hyperlink ref="R29" location="доходы!J65" display="ПФДО сертификаты"/>
    <hyperlink ref="R30" location="доходы!D36" display="Питание сотрудников"/>
    <hyperlink ref="R31" location="доходы!D37" display="Питание школьников"/>
    <hyperlink ref="R32" location="доходы!D38" display="Родительская плата"/>
    <hyperlink ref="R33" location="доходы!D33" display="Удержание из з/п сотрудника школы"/>
    <hyperlink ref="R35" location="доходы!D35" display="Доходы от возмещений Фондом социального страхования РФ"/>
    <hyperlink ref="R34" location="доходы!D34" display="Коммунальные расходы"/>
    <hyperlink ref="R36" location="доходы!D76" display="Штрафы, пени, неустойки, возмещения ущерба"/>
    <hyperlink ref="R37" location="доходы!D77" display="Прочие доходы от сумм принудительного изъятия"/>
    <hyperlink ref="R38" location="доходы!D89" display="Гранты от организаций государственного сектора"/>
    <hyperlink ref="R39" location="доходы!D95" display="Гранты не от организаций государственного сектора"/>
    <hyperlink ref="R40" location="доходы!D93" display="Пожертвования от организаций государственного сектора"/>
    <hyperlink ref="R41" location="доходы!D99" display="Добровольные пожертвования"/>
    <hyperlink ref="R42" location="Титульный!D101" display="Оздоровительные мероприятия"/>
    <hyperlink ref="R43" location="доходы!D88" display="Субсидии на осуществление капитальных вложений"/>
    <hyperlink ref="R44" location="доходы!D111" display="Доходы от реализации активов"/>
    <hyperlink ref="R45" location="доходы!J122" display="Невыясненные поступления"/>
    <hyperlink ref="R46" location="доходы!D30" display="КФО 4"/>
    <hyperlink ref="R47" location="доходы!D87" display="КФО 5"/>
    <hyperlink ref="J18" location="'3-1'!H30" display="44-ФЗ"/>
    <hyperlink ref="J19" location="'3-1'!H33" display="223-ФЗ"/>
    <hyperlink ref="J20" location="'2'!F103" display="Налог"/>
    <hyperlink ref="N18" location="'3-1'!H11" display="'3-1'!H11"/>
    <hyperlink ref="N19" location="'3-1'!H11" display="'3-1'!H11"/>
    <hyperlink ref="N20" location="'3-1'!H11" display="'3-1'!H11"/>
    <hyperlink ref="O17" location="'3-1'!H11" display="'3-1'!H11"/>
    <hyperlink ref="P17" location="'3-1'!I11" display="'3-1'!I11"/>
    <hyperlink ref="Q17" location="'3-1'!J11" display="'3-1'!J11"/>
    <hyperlink ref="K17" location="'3-1'!H28" display="'3-1'!H28"/>
    <hyperlink ref="L17" location="'3-1'!I28" display="'3-1'!I28"/>
    <hyperlink ref="M17" location="'3-1'!J28" display="'3-1'!J28"/>
  </hyperlinks>
  <pageMargins left="0.70866141732283472" right="0.70866141732283472" top="0.74803149606299213" bottom="0.74803149606299213" header="0.31496062992125984" footer="0.31496062992125984"/>
  <pageSetup paperSize="9" scale="12" orientation="portrait" r:id="rId1"/>
  <legacy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sheetPr codeName="Лист2">
    <tabColor theme="6" tint="0.59999389629810485"/>
    <pageSetUpPr fitToPage="1"/>
  </sheetPr>
  <dimension ref="A1:K37"/>
  <sheetViews>
    <sheetView view="pageBreakPreview" zoomScale="68" zoomScaleNormal="100" zoomScaleSheetLayoutView="68" workbookViewId="0">
      <selection activeCell="B23" sqref="B23:D23"/>
    </sheetView>
  </sheetViews>
  <sheetFormatPr defaultRowHeight="12.75"/>
  <cols>
    <col min="1" max="1" width="44.7109375" customWidth="1"/>
    <col min="2" max="2" width="47.28515625" customWidth="1"/>
    <col min="3" max="4" width="11.7109375" customWidth="1"/>
    <col min="5" max="8" width="12.140625" customWidth="1"/>
    <col min="10" max="10" width="57.28515625" customWidth="1"/>
    <col min="11" max="11" width="37.28515625" customWidth="1"/>
    <col min="12" max="12" width="15.7109375" customWidth="1"/>
  </cols>
  <sheetData>
    <row r="1" spans="1:11" s="4" customFormat="1" ht="18.75">
      <c r="A1" s="3"/>
      <c r="B1" s="3"/>
      <c r="C1" s="112"/>
      <c r="D1" s="112"/>
      <c r="E1" s="112"/>
      <c r="F1" s="112"/>
      <c r="G1" s="112"/>
      <c r="H1" s="112"/>
    </row>
    <row r="2" spans="1:11" s="4" customFormat="1" ht="18.75" customHeight="1">
      <c r="A2" s="3"/>
      <c r="B2" s="3"/>
      <c r="C2" s="1505" t="s">
        <v>208</v>
      </c>
      <c r="D2" s="1505"/>
      <c r="E2" s="1505"/>
      <c r="F2" s="1505"/>
      <c r="G2" s="1505"/>
      <c r="H2" s="1505"/>
    </row>
    <row r="3" spans="1:11" s="4" customFormat="1" ht="18.75" customHeight="1">
      <c r="A3" s="3"/>
      <c r="B3" s="3"/>
      <c r="C3" s="1506" t="s">
        <v>1097</v>
      </c>
      <c r="D3" s="1506"/>
      <c r="E3" s="1506"/>
      <c r="F3" s="1506"/>
      <c r="G3" s="1506"/>
      <c r="H3" s="1506"/>
    </row>
    <row r="4" spans="1:11" s="4" customFormat="1" ht="18.75" customHeight="1">
      <c r="A4" s="3"/>
      <c r="B4" s="3"/>
      <c r="C4" s="1507" t="s">
        <v>11</v>
      </c>
      <c r="D4" s="1507"/>
      <c r="E4" s="1507"/>
      <c r="F4" s="1507"/>
      <c r="G4" s="1507"/>
      <c r="H4" s="1507"/>
    </row>
    <row r="5" spans="1:11" s="4" customFormat="1" ht="18.75">
      <c r="A5" s="3"/>
      <c r="B5" s="3"/>
      <c r="C5" s="8"/>
      <c r="D5" s="8"/>
      <c r="E5" s="8"/>
      <c r="F5" s="8"/>
      <c r="G5" s="8"/>
      <c r="H5" s="8"/>
    </row>
    <row r="6" spans="1:11" s="4" customFormat="1" ht="35.25" customHeight="1">
      <c r="A6" s="3"/>
      <c r="B6" s="3"/>
      <c r="C6" s="1506" t="s">
        <v>209</v>
      </c>
      <c r="D6" s="1506"/>
      <c r="E6" s="1506"/>
      <c r="F6" s="1506"/>
      <c r="G6" s="1506"/>
      <c r="H6" s="1506"/>
      <c r="J6" s="1508" t="s">
        <v>876</v>
      </c>
      <c r="K6" s="1509"/>
    </row>
    <row r="7" spans="1:11" s="4" customFormat="1" ht="33.75" customHeight="1">
      <c r="A7" s="3"/>
      <c r="B7" s="3"/>
      <c r="C7" s="1507" t="s">
        <v>194</v>
      </c>
      <c r="D7" s="1507"/>
      <c r="E7" s="1507"/>
      <c r="F7" s="1507"/>
      <c r="G7" s="1507"/>
      <c r="H7" s="1507"/>
      <c r="J7" s="1510"/>
      <c r="K7" s="1511"/>
    </row>
    <row r="8" spans="1:11" s="4" customFormat="1" ht="18.75" customHeight="1">
      <c r="A8" s="3"/>
      <c r="B8" s="3"/>
      <c r="C8" s="8"/>
      <c r="D8" s="8"/>
      <c r="E8" s="8"/>
      <c r="F8" s="8"/>
      <c r="G8" s="8"/>
      <c r="H8" s="8"/>
      <c r="J8" s="1512" t="s">
        <v>877</v>
      </c>
      <c r="K8" s="1512" t="s">
        <v>878</v>
      </c>
    </row>
    <row r="9" spans="1:11" s="4" customFormat="1" ht="18.75">
      <c r="A9" s="3"/>
      <c r="B9" s="3"/>
      <c r="C9" s="1492"/>
      <c r="D9" s="1493"/>
      <c r="E9" s="1495" t="s">
        <v>1102</v>
      </c>
      <c r="F9" s="1496"/>
      <c r="G9" s="1496"/>
      <c r="H9" s="1497"/>
      <c r="J9" s="1512"/>
      <c r="K9" s="1512"/>
    </row>
    <row r="10" spans="1:11" s="4" customFormat="1" ht="18.75">
      <c r="A10" s="3"/>
      <c r="B10" s="3"/>
      <c r="C10" s="1494" t="s">
        <v>12</v>
      </c>
      <c r="D10" s="1494"/>
      <c r="E10" s="1494" t="s">
        <v>13</v>
      </c>
      <c r="F10" s="1494"/>
      <c r="G10" s="1494"/>
      <c r="H10" s="1494"/>
      <c r="J10" s="1512" t="s">
        <v>879</v>
      </c>
      <c r="K10" s="1512" t="s">
        <v>880</v>
      </c>
    </row>
    <row r="11" spans="1:11" s="4" customFormat="1" ht="18.75">
      <c r="A11" s="3"/>
      <c r="B11" s="3"/>
      <c r="C11" s="112"/>
      <c r="D11" s="112"/>
      <c r="E11" s="112"/>
      <c r="F11" s="112"/>
      <c r="G11" s="112"/>
      <c r="H11" s="112"/>
      <c r="J11" s="1512"/>
      <c r="K11" s="1512"/>
    </row>
    <row r="12" spans="1:11" s="4" customFormat="1" ht="18.75">
      <c r="A12" s="5"/>
      <c r="B12" s="5"/>
      <c r="C12" s="1523" t="s">
        <v>1109</v>
      </c>
      <c r="D12" s="1523"/>
      <c r="E12" s="1523"/>
      <c r="F12" s="1523"/>
      <c r="G12" s="1523"/>
      <c r="H12" s="1523"/>
      <c r="J12" s="1512" t="s">
        <v>881</v>
      </c>
      <c r="K12" s="1512" t="s">
        <v>882</v>
      </c>
    </row>
    <row r="13" spans="1:11" s="4" customFormat="1" ht="18.75">
      <c r="A13" s="5"/>
      <c r="B13" s="5"/>
      <c r="C13" s="112"/>
      <c r="D13" s="112"/>
      <c r="E13" s="112"/>
      <c r="F13" s="112"/>
      <c r="G13" s="112"/>
      <c r="H13" s="112"/>
      <c r="J13" s="1512"/>
      <c r="K13" s="1512"/>
    </row>
    <row r="14" spans="1:11" s="4" customFormat="1" ht="18.75">
      <c r="A14" s="6"/>
      <c r="B14" s="1500" t="s">
        <v>1086</v>
      </c>
      <c r="C14" s="1500"/>
      <c r="D14" s="1500"/>
      <c r="E14" s="6"/>
      <c r="F14" s="6"/>
      <c r="G14" s="6"/>
      <c r="H14" s="6"/>
    </row>
    <row r="15" spans="1:11" s="4" customFormat="1" ht="22.5">
      <c r="A15" s="6"/>
      <c r="B15" s="1500" t="s">
        <v>1112</v>
      </c>
      <c r="C15" s="1500"/>
      <c r="D15" s="1500"/>
      <c r="E15" s="6"/>
      <c r="F15" s="6"/>
      <c r="G15" s="6"/>
      <c r="H15" s="6"/>
    </row>
    <row r="16" spans="1:11" s="4" customFormat="1" ht="22.5">
      <c r="A16" s="116"/>
      <c r="B16" s="1500" t="s">
        <v>1113</v>
      </c>
      <c r="C16" s="1500"/>
      <c r="D16" s="1500"/>
      <c r="E16" s="6"/>
      <c r="F16" s="14"/>
      <c r="G16" s="1501" t="s">
        <v>14</v>
      </c>
      <c r="H16" s="1502"/>
      <c r="J16" s="1513" t="s">
        <v>883</v>
      </c>
      <c r="K16" s="1514"/>
    </row>
    <row r="17" spans="1:11" s="4" customFormat="1" ht="18.75">
      <c r="A17" s="6"/>
      <c r="B17" s="6"/>
      <c r="C17" s="113"/>
      <c r="D17" s="113"/>
      <c r="E17" s="1491" t="s">
        <v>15</v>
      </c>
      <c r="F17" s="1491"/>
      <c r="G17" s="1503"/>
      <c r="H17" s="1504"/>
      <c r="J17" s="1513"/>
      <c r="K17" s="1514"/>
    </row>
    <row r="18" spans="1:11" s="4" customFormat="1" ht="20.25" customHeight="1">
      <c r="A18" s="1490" t="s">
        <v>210</v>
      </c>
      <c r="B18" s="1490" t="s">
        <v>207</v>
      </c>
      <c r="C18" s="1490"/>
      <c r="D18" s="1490"/>
      <c r="E18" s="1491" t="s">
        <v>214</v>
      </c>
      <c r="F18" s="1491"/>
      <c r="G18" s="1519"/>
      <c r="H18" s="1520"/>
      <c r="J18" s="1515" t="s">
        <v>884</v>
      </c>
      <c r="K18" s="1516"/>
    </row>
    <row r="19" spans="1:11" s="4" customFormat="1" ht="20.25" customHeight="1">
      <c r="A19" s="1490"/>
      <c r="B19" s="1490"/>
      <c r="C19" s="1490"/>
      <c r="D19" s="1490"/>
      <c r="E19" s="1491" t="s">
        <v>16</v>
      </c>
      <c r="F19" s="1491"/>
      <c r="G19" s="1498">
        <v>956</v>
      </c>
      <c r="H19" s="1499"/>
      <c r="J19" s="1515"/>
      <c r="K19" s="1516"/>
    </row>
    <row r="20" spans="1:11" s="4" customFormat="1" ht="20.25" customHeight="1">
      <c r="A20" s="1490" t="s">
        <v>20</v>
      </c>
      <c r="B20" s="1490" t="s">
        <v>1124</v>
      </c>
      <c r="C20" s="1490"/>
      <c r="D20" s="1490"/>
      <c r="E20" s="1491" t="s">
        <v>214</v>
      </c>
      <c r="F20" s="1491"/>
      <c r="G20" s="1519" t="s">
        <v>1095</v>
      </c>
      <c r="H20" s="1520"/>
    </row>
    <row r="21" spans="1:11" s="4" customFormat="1" ht="20.25" customHeight="1">
      <c r="A21" s="1490"/>
      <c r="B21" s="1490"/>
      <c r="C21" s="1490"/>
      <c r="D21" s="1490"/>
      <c r="E21" s="1491" t="s">
        <v>17</v>
      </c>
      <c r="F21" s="1491"/>
      <c r="G21" s="1521">
        <v>5191602098</v>
      </c>
      <c r="H21" s="1522"/>
    </row>
    <row r="22" spans="1:11" s="4" customFormat="1" ht="20.25" customHeight="1">
      <c r="A22" s="1490"/>
      <c r="B22" s="1490"/>
      <c r="C22" s="1490"/>
      <c r="D22" s="1490"/>
      <c r="E22" s="1491" t="s">
        <v>18</v>
      </c>
      <c r="F22" s="1491"/>
      <c r="G22" s="1498">
        <v>519001001</v>
      </c>
      <c r="H22" s="1499"/>
    </row>
    <row r="23" spans="1:11" s="4" customFormat="1" ht="20.25" customHeight="1">
      <c r="A23" s="117" t="s">
        <v>211</v>
      </c>
      <c r="B23" s="1490" t="s">
        <v>206</v>
      </c>
      <c r="C23" s="1490"/>
      <c r="D23" s="1490"/>
      <c r="E23" s="1491" t="s">
        <v>19</v>
      </c>
      <c r="F23" s="1491"/>
      <c r="G23" s="1517">
        <v>383</v>
      </c>
      <c r="H23" s="1518"/>
    </row>
    <row r="24" spans="1:11" s="4" customFormat="1" ht="20.25" customHeight="1">
      <c r="A24" s="10"/>
      <c r="B24" s="9"/>
      <c r="C24" s="9"/>
      <c r="D24" s="9"/>
      <c r="E24" s="705"/>
      <c r="F24" s="705"/>
      <c r="G24" s="11"/>
      <c r="H24" s="11"/>
    </row>
    <row r="25" spans="1:11" ht="18">
      <c r="J25" s="4"/>
    </row>
    <row r="26" spans="1:11" ht="18">
      <c r="J26" s="4"/>
    </row>
    <row r="27" spans="1:11" ht="18">
      <c r="J27" s="4"/>
    </row>
    <row r="29" spans="1:11" ht="18.75">
      <c r="B29" s="3"/>
      <c r="C29" s="1492"/>
      <c r="D29" s="1493"/>
      <c r="E29" s="1495" t="s">
        <v>867</v>
      </c>
      <c r="F29" s="1496"/>
      <c r="G29" s="1496"/>
      <c r="H29" s="1497"/>
    </row>
    <row r="30" spans="1:11" ht="18.75">
      <c r="B30" s="3"/>
      <c r="C30" s="1529" t="s">
        <v>12</v>
      </c>
      <c r="D30" s="1529"/>
      <c r="E30" s="1529" t="s">
        <v>13</v>
      </c>
      <c r="F30" s="1529"/>
      <c r="G30" s="1529"/>
      <c r="H30" s="1529"/>
    </row>
    <row r="31" spans="1:11" ht="18.75">
      <c r="B31" s="3"/>
      <c r="C31" s="112"/>
      <c r="D31" s="112"/>
      <c r="E31" s="112"/>
      <c r="F31" s="112"/>
      <c r="G31" s="112"/>
      <c r="H31" s="112"/>
    </row>
    <row r="32" spans="1:11" ht="25.5">
      <c r="B32" s="5"/>
      <c r="C32" s="44"/>
      <c r="D32" s="44"/>
      <c r="E32" s="1530" t="s">
        <v>885</v>
      </c>
      <c r="F32" s="1530"/>
      <c r="G32" s="1530"/>
      <c r="H32" s="1530"/>
    </row>
    <row r="33" spans="2:8" ht="18.75">
      <c r="B33" s="5"/>
      <c r="C33" s="112"/>
      <c r="D33" s="112"/>
      <c r="E33" s="112"/>
      <c r="F33" s="112"/>
      <c r="G33" s="112"/>
      <c r="H33" s="112"/>
    </row>
    <row r="34" spans="2:8" ht="18.75">
      <c r="B34" s="1500" t="s">
        <v>1086</v>
      </c>
      <c r="C34" s="1500"/>
      <c r="D34" s="1500"/>
      <c r="E34" s="6"/>
      <c r="F34" s="6"/>
      <c r="G34" s="6"/>
      <c r="H34" s="6"/>
    </row>
    <row r="35" spans="2:8" ht="18.75">
      <c r="B35" s="1500" t="s">
        <v>1087</v>
      </c>
      <c r="C35" s="1500"/>
      <c r="D35" s="1500"/>
      <c r="E35" s="6"/>
      <c r="F35" s="6"/>
      <c r="G35" s="6"/>
      <c r="H35" s="6"/>
    </row>
    <row r="36" spans="2:8" ht="25.5">
      <c r="B36" s="1524" t="s">
        <v>885</v>
      </c>
      <c r="C36" s="1524"/>
      <c r="D36" s="1524"/>
      <c r="E36" s="6"/>
      <c r="F36" s="14"/>
      <c r="G36" s="1525" t="s">
        <v>14</v>
      </c>
      <c r="H36" s="1526"/>
    </row>
    <row r="37" spans="2:8" ht="25.5">
      <c r="B37" s="6"/>
      <c r="C37" s="113"/>
      <c r="D37" s="113"/>
      <c r="E37" s="1491" t="s">
        <v>15</v>
      </c>
      <c r="F37" s="1491"/>
      <c r="G37" s="1527" t="s">
        <v>886</v>
      </c>
      <c r="H37" s="1528"/>
    </row>
  </sheetData>
  <mergeCells count="53">
    <mergeCell ref="B36:D36"/>
    <mergeCell ref="G36:H36"/>
    <mergeCell ref="E37:F37"/>
    <mergeCell ref="G37:H37"/>
    <mergeCell ref="C30:D30"/>
    <mergeCell ref="E30:H30"/>
    <mergeCell ref="E32:H32"/>
    <mergeCell ref="B34:D34"/>
    <mergeCell ref="B35:D35"/>
    <mergeCell ref="J12:J13"/>
    <mergeCell ref="K12:K13"/>
    <mergeCell ref="J16:K17"/>
    <mergeCell ref="J18:K19"/>
    <mergeCell ref="C29:D29"/>
    <mergeCell ref="E29:H29"/>
    <mergeCell ref="B14:D14"/>
    <mergeCell ref="G23:H23"/>
    <mergeCell ref="G18:H18"/>
    <mergeCell ref="G19:H19"/>
    <mergeCell ref="G20:H20"/>
    <mergeCell ref="E20:F20"/>
    <mergeCell ref="E22:F22"/>
    <mergeCell ref="G21:H21"/>
    <mergeCell ref="C12:H12"/>
    <mergeCell ref="J6:K7"/>
    <mergeCell ref="J8:J9"/>
    <mergeCell ref="K8:K9"/>
    <mergeCell ref="J10:J11"/>
    <mergeCell ref="K10:K11"/>
    <mergeCell ref="C2:H2"/>
    <mergeCell ref="C3:H3"/>
    <mergeCell ref="C4:H4"/>
    <mergeCell ref="C6:H6"/>
    <mergeCell ref="C7:H7"/>
    <mergeCell ref="C9:D9"/>
    <mergeCell ref="C10:D10"/>
    <mergeCell ref="E9:H9"/>
    <mergeCell ref="E10:H10"/>
    <mergeCell ref="G22:H22"/>
    <mergeCell ref="E21:F21"/>
    <mergeCell ref="B20:D22"/>
    <mergeCell ref="B15:D15"/>
    <mergeCell ref="B16:D16"/>
    <mergeCell ref="G16:H16"/>
    <mergeCell ref="E17:F17"/>
    <mergeCell ref="G17:H17"/>
    <mergeCell ref="A18:A19"/>
    <mergeCell ref="B18:D19"/>
    <mergeCell ref="E23:F23"/>
    <mergeCell ref="E19:F19"/>
    <mergeCell ref="E18:F18"/>
    <mergeCell ref="A20:A22"/>
    <mergeCell ref="B23:D23"/>
  </mergeCells>
  <dataValidations count="2">
    <dataValidation type="list" allowBlank="1" showInputMessage="1" showErrorMessage="1" sqref="E9:H9">
      <formula1>"Ларина Татьяна Михайловна, Кочнева Наталья Павловна, Воробьева Светлана Сергеевна"</formula1>
    </dataValidation>
    <dataValidation type="list" allowBlank="1" showInputMessage="1" showErrorMessage="1" sqref="C3:H3">
      <formula1>"Председатель комитета, Заместитель председателя комитета"</formula1>
    </dataValidation>
  </dataValidations>
  <pageMargins left="0.31496062992125984" right="0.31496062992125984" top="0.74803149606299213" bottom="0.35433070866141736"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sheetPr codeName="Лист3">
    <tabColor theme="6" tint="0.59999389629810485"/>
    <pageSetUpPr fitToPage="1"/>
  </sheetPr>
  <dimension ref="A1:AD131"/>
  <sheetViews>
    <sheetView showZeros="0" tabSelected="1" view="pageBreakPreview" topLeftCell="A68" zoomScale="77" zoomScaleNormal="100" zoomScaleSheetLayoutView="77" workbookViewId="0">
      <selection activeCell="O7" sqref="O7"/>
    </sheetView>
  </sheetViews>
  <sheetFormatPr defaultColWidth="8.85546875" defaultRowHeight="12.75"/>
  <cols>
    <col min="1" max="1" width="2.140625" style="111" customWidth="1"/>
    <col min="2" max="2" width="89.5703125" style="111" customWidth="1"/>
    <col min="3" max="5" width="12.140625" style="111" customWidth="1"/>
    <col min="6" max="8" width="17.7109375" style="111" customWidth="1"/>
    <col min="13" max="26" width="8.85546875" style="111"/>
    <col min="28" max="28" width="8.85546875" style="111"/>
    <col min="30" max="16384" width="8.85546875" style="111"/>
  </cols>
  <sheetData>
    <row r="1" spans="1:28" s="4" customFormat="1" ht="18.75">
      <c r="A1" s="1554" t="s">
        <v>21</v>
      </c>
      <c r="B1" s="1554"/>
      <c r="C1" s="1554"/>
      <c r="D1" s="1554"/>
      <c r="E1" s="1554"/>
      <c r="F1" s="1554"/>
      <c r="G1" s="1554"/>
      <c r="H1" s="1554"/>
    </row>
    <row r="2" spans="1:28" s="4" customFormat="1" ht="18.75">
      <c r="B2" s="3"/>
    </row>
    <row r="3" spans="1:28" s="13" customFormat="1" ht="46.5" customHeight="1">
      <c r="A3" s="1553"/>
      <c r="B3" s="1553" t="s">
        <v>0</v>
      </c>
      <c r="C3" s="1560" t="s">
        <v>1</v>
      </c>
      <c r="D3" s="1561" t="s">
        <v>215</v>
      </c>
      <c r="E3" s="1562" t="s">
        <v>216</v>
      </c>
      <c r="F3" s="1563" t="s">
        <v>5</v>
      </c>
      <c r="G3" s="1563"/>
      <c r="H3" s="1563"/>
    </row>
    <row r="4" spans="1:28" s="13" customFormat="1" ht="15.75">
      <c r="A4" s="1553"/>
      <c r="B4" s="1553"/>
      <c r="C4" s="1560"/>
      <c r="D4" s="1561"/>
      <c r="E4" s="1562"/>
      <c r="F4" s="105">
        <v>2025</v>
      </c>
      <c r="G4" s="16">
        <v>2026</v>
      </c>
      <c r="H4" s="17">
        <v>2027</v>
      </c>
    </row>
    <row r="5" spans="1:28" s="13" customFormat="1" ht="47.25">
      <c r="A5" s="1553"/>
      <c r="B5" s="1553"/>
      <c r="C5" s="1560"/>
      <c r="D5" s="1561"/>
      <c r="E5" s="1562"/>
      <c r="F5" s="105" t="s">
        <v>2</v>
      </c>
      <c r="G5" s="106" t="s">
        <v>3</v>
      </c>
      <c r="H5" s="107" t="s">
        <v>4</v>
      </c>
    </row>
    <row r="6" spans="1:28" s="13" customFormat="1" ht="16.5" customHeight="1">
      <c r="A6" s="15"/>
      <c r="B6" s="15" t="s">
        <v>6</v>
      </c>
      <c r="C6" s="18" t="s">
        <v>7</v>
      </c>
      <c r="D6" s="19" t="s">
        <v>8</v>
      </c>
      <c r="E6" s="20" t="s">
        <v>9</v>
      </c>
      <c r="F6" s="63" t="s">
        <v>10</v>
      </c>
      <c r="G6" s="64">
        <v>6</v>
      </c>
      <c r="H6" s="65">
        <v>7</v>
      </c>
    </row>
    <row r="7" spans="1:28" s="7" customFormat="1" ht="21.75" customHeight="1">
      <c r="A7" s="549"/>
      <c r="B7" s="542" t="s">
        <v>217</v>
      </c>
      <c r="C7" s="543" t="s">
        <v>22</v>
      </c>
      <c r="D7" s="544" t="s">
        <v>23</v>
      </c>
      <c r="E7" s="545" t="s">
        <v>23</v>
      </c>
      <c r="F7" s="546">
        <f>Титульный!V45+Титульный!W45+Титульный!X45</f>
        <v>1603376.45</v>
      </c>
      <c r="G7" s="547">
        <v>0</v>
      </c>
      <c r="H7" s="548">
        <v>0</v>
      </c>
    </row>
    <row r="8" spans="1:28" s="7" customFormat="1" ht="21.75" customHeight="1" thickBot="1">
      <c r="A8" s="559"/>
      <c r="B8" s="560" t="s">
        <v>218</v>
      </c>
      <c r="C8" s="561" t="s">
        <v>24</v>
      </c>
      <c r="D8" s="562" t="s">
        <v>23</v>
      </c>
      <c r="E8" s="563" t="s">
        <v>23</v>
      </c>
      <c r="F8" s="673">
        <f>ROUND(F7+F9-F38-F107,2)</f>
        <v>0</v>
      </c>
      <c r="G8" s="564">
        <f>G7+G9-G38+G103-G107</f>
        <v>0</v>
      </c>
      <c r="H8" s="565">
        <f>H7+H9-H38+H103-H107</f>
        <v>0</v>
      </c>
    </row>
    <row r="9" spans="1:28" s="7" customFormat="1" ht="21.75" customHeight="1">
      <c r="A9" s="566"/>
      <c r="B9" s="566" t="s">
        <v>25</v>
      </c>
      <c r="C9" s="567" t="s">
        <v>26</v>
      </c>
      <c r="D9" s="568"/>
      <c r="E9" s="569"/>
      <c r="F9" s="570">
        <f>F10+F13+F19+F23+F29+F31+F35</f>
        <v>188400006.46000001</v>
      </c>
      <c r="G9" s="571">
        <f>G10+G13+G19+G23+G29+G31+G35</f>
        <v>183902187.06</v>
      </c>
      <c r="H9" s="572">
        <f>H10+H13+H19+H23+H29+H31+H35</f>
        <v>183855887.06</v>
      </c>
    </row>
    <row r="10" spans="1:28" s="7" customFormat="1" ht="33" customHeight="1">
      <c r="A10" s="512"/>
      <c r="B10" s="444" t="s">
        <v>27</v>
      </c>
      <c r="C10" s="445" t="s">
        <v>28</v>
      </c>
      <c r="D10" s="446" t="s">
        <v>29</v>
      </c>
      <c r="E10" s="447" t="s">
        <v>29</v>
      </c>
      <c r="F10" s="441">
        <f>F11</f>
        <v>0</v>
      </c>
      <c r="G10" s="442">
        <f>G11</f>
        <v>0</v>
      </c>
      <c r="H10" s="443">
        <f>H11</f>
        <v>0</v>
      </c>
    </row>
    <row r="11" spans="1:28" s="7" customFormat="1" ht="18.600000000000001" customHeight="1">
      <c r="A11" s="513"/>
      <c r="B11" s="460" t="s">
        <v>30</v>
      </c>
      <c r="C11" s="1534" t="s">
        <v>31</v>
      </c>
      <c r="D11" s="1536" t="s">
        <v>29</v>
      </c>
      <c r="E11" s="1538" t="s">
        <v>283</v>
      </c>
      <c r="F11" s="1548">
        <f>SUMIFS(Титульный!$O$25:$O$47,Титульный!$K$25:$K$47,'2'!AA11,Титульный!$M$25:$M$47,'2'!AB11)</f>
        <v>0</v>
      </c>
      <c r="G11" s="1549">
        <f>SUMIFS(Титульный!$P$25:$P$47,Титульный!$K$25:$K$47,'2'!AA11,Титульный!$M$25:$M$47,'2'!AB11)</f>
        <v>0</v>
      </c>
      <c r="H11" s="1532">
        <f>SUMIFS(Титульный!$Q$25:$Q$47,Титульный!$K$25:$K$47,'2'!AA11,Титульный!$M$25:$M$47,'2'!AB11)</f>
        <v>0</v>
      </c>
      <c r="AA11" s="7">
        <v>2</v>
      </c>
      <c r="AB11" s="7">
        <v>121</v>
      </c>
    </row>
    <row r="12" spans="1:28" s="7" customFormat="1" ht="18.600000000000001" customHeight="1">
      <c r="A12" s="514"/>
      <c r="B12" s="461" t="s">
        <v>284</v>
      </c>
      <c r="C12" s="1545"/>
      <c r="D12" s="1546"/>
      <c r="E12" s="1547"/>
      <c r="F12" s="1540"/>
      <c r="G12" s="1542"/>
      <c r="H12" s="1533"/>
    </row>
    <row r="13" spans="1:28" s="7" customFormat="1" ht="21" customHeight="1">
      <c r="A13" s="512"/>
      <c r="B13" s="444" t="s">
        <v>32</v>
      </c>
      <c r="C13" s="445" t="s">
        <v>33</v>
      </c>
      <c r="D13" s="446" t="s">
        <v>34</v>
      </c>
      <c r="E13" s="447" t="s">
        <v>34</v>
      </c>
      <c r="F13" s="441">
        <f>SUM(F14:F18)</f>
        <v>179740234.65000001</v>
      </c>
      <c r="G13" s="442">
        <f>SUM(G14:G18)</f>
        <v>181404807</v>
      </c>
      <c r="H13" s="443">
        <f>SUM(H14:H18)</f>
        <v>181358507</v>
      </c>
    </row>
    <row r="14" spans="1:28" s="7" customFormat="1" ht="48" customHeight="1">
      <c r="A14" s="515"/>
      <c r="B14" s="453" t="s">
        <v>195</v>
      </c>
      <c r="C14" s="454" t="s">
        <v>35</v>
      </c>
      <c r="D14" s="455" t="s">
        <v>34</v>
      </c>
      <c r="E14" s="456" t="s">
        <v>285</v>
      </c>
      <c r="F14" s="457">
        <f>SUMIFS(Титульный!$O$25:$O$47,Титульный!$K$25:$K$47,'2'!AA14,Титульный!$M$25:$M$47,'2'!AB14)</f>
        <v>178040234.65000001</v>
      </c>
      <c r="G14" s="458">
        <f>SUMIFS(Титульный!$P$25:$P$47,Титульный!$K$25:$K$47,'2'!AA14,Титульный!$M$25:$M$47,'2'!AB14)</f>
        <v>179704807</v>
      </c>
      <c r="H14" s="459">
        <f>SUMIFS(Титульный!$Q$25:$Q$47,Титульный!$K$25:$K$47,'2'!AA14,Титульный!$M$25:$M$47,'2'!AB14)</f>
        <v>179658507</v>
      </c>
      <c r="M14" s="7" t="s">
        <v>395</v>
      </c>
      <c r="AA14" s="7">
        <v>4</v>
      </c>
      <c r="AB14" s="7">
        <v>131</v>
      </c>
    </row>
    <row r="15" spans="1:28" s="7" customFormat="1" ht="34.15" customHeight="1">
      <c r="A15" s="515"/>
      <c r="B15" s="453" t="s">
        <v>286</v>
      </c>
      <c r="C15" s="454" t="s">
        <v>287</v>
      </c>
      <c r="D15" s="455" t="s">
        <v>34</v>
      </c>
      <c r="E15" s="456" t="s">
        <v>285</v>
      </c>
      <c r="F15" s="457">
        <f>SUMIFS(Титульный!$O$25:$O$47,Титульный!$K$25:$K$47,'2'!AA15,Титульный!$M$25:$M$47,'2'!AB15)</f>
        <v>1000000</v>
      </c>
      <c r="G15" s="458">
        <f>SUMIFS(Титульный!$P$25:$P$47,Титульный!$K$25:$K$47,'2'!AA15,Титульный!$M$25:$M$47,'2'!AB15)</f>
        <v>1000000</v>
      </c>
      <c r="H15" s="459">
        <f>SUMIFS(Титульный!$Q$25:$Q$47,Титульный!$K$25:$K$47,'2'!AA15,Титульный!$M$25:$M$47,'2'!AB15)</f>
        <v>1000000</v>
      </c>
      <c r="M15" s="7" t="s">
        <v>846</v>
      </c>
      <c r="AA15" s="7">
        <v>2</v>
      </c>
      <c r="AB15" s="7">
        <v>131</v>
      </c>
    </row>
    <row r="16" spans="1:28" s="7" customFormat="1" ht="34.15" customHeight="1">
      <c r="A16" s="515"/>
      <c r="B16" s="453" t="s">
        <v>753</v>
      </c>
      <c r="C16" s="454" t="s">
        <v>754</v>
      </c>
      <c r="D16" s="455" t="s">
        <v>34</v>
      </c>
      <c r="E16" s="456" t="s">
        <v>755</v>
      </c>
      <c r="F16" s="457">
        <f>SUMIFS(Титульный!$O$25:$O$47,Титульный!$K$25:$K$47,'2'!AA16,Титульный!$M$25:$M$47,'2'!AB16)</f>
        <v>0</v>
      </c>
      <c r="G16" s="458">
        <f>SUMIFS(Титульный!$P$25:$P$47,Титульный!$K$25:$K$47,'2'!AA16,Титульный!$M$25:$M$47,'2'!AB16)</f>
        <v>0</v>
      </c>
      <c r="H16" s="459">
        <f>SUMIFS(Титульный!$Q$25:$Q$47,Титульный!$K$25:$K$47,'2'!AA16,Титульный!$M$25:$M$47,'2'!AB16)</f>
        <v>0</v>
      </c>
      <c r="AA16" s="7">
        <v>2</v>
      </c>
      <c r="AB16" s="7">
        <v>134</v>
      </c>
    </row>
    <row r="17" spans="1:28" s="7" customFormat="1" ht="26.45" customHeight="1">
      <c r="A17" s="515"/>
      <c r="B17" s="453" t="s">
        <v>288</v>
      </c>
      <c r="C17" s="454" t="s">
        <v>757</v>
      </c>
      <c r="D17" s="455" t="s">
        <v>34</v>
      </c>
      <c r="E17" s="456" t="s">
        <v>289</v>
      </c>
      <c r="F17" s="457">
        <f>SUMIFS(Титульный!$O$25:$O$47,Титульный!$K$25:$K$47,'2'!AA17,Титульный!$M$25:$M$47,'2'!AB17)</f>
        <v>700000</v>
      </c>
      <c r="G17" s="458">
        <f>SUMIFS(Титульный!$P$25:$P$47,Титульный!$K$25:$K$47,'2'!AA17,Титульный!$M$25:$M$47,'2'!AB17)</f>
        <v>700000</v>
      </c>
      <c r="H17" s="459">
        <f>SUMIFS(Титульный!$Q$25:$Q$47,Титульный!$K$25:$K$47,'2'!AA17,Титульный!$M$25:$M$47,'2'!AB17)</f>
        <v>700000</v>
      </c>
      <c r="K17" s="7">
        <v>859.81</v>
      </c>
      <c r="M17" s="7" t="s">
        <v>290</v>
      </c>
      <c r="AA17" s="7">
        <v>2</v>
      </c>
      <c r="AB17" s="7">
        <v>135</v>
      </c>
    </row>
    <row r="18" spans="1:28" s="7" customFormat="1" ht="36" customHeight="1">
      <c r="A18" s="513"/>
      <c r="B18" s="460" t="s">
        <v>764</v>
      </c>
      <c r="C18" s="635" t="s">
        <v>765</v>
      </c>
      <c r="D18" s="636" t="s">
        <v>34</v>
      </c>
      <c r="E18" s="637" t="s">
        <v>74</v>
      </c>
      <c r="F18" s="450">
        <f>SUMIFS(Титульный!$O$25:$O$47,Титульный!$K$25:$K$47,'2'!AA18,Титульный!$M$25:$M$47,'2'!AB18)</f>
        <v>0</v>
      </c>
      <c r="G18" s="451">
        <f>SUMIFS(Титульный!$P$25:$P$47,Титульный!$K$25:$K$47,'2'!AA18,Титульный!$M$25:$M$47,'2'!AB18)</f>
        <v>0</v>
      </c>
      <c r="H18" s="452">
        <f>SUMIFS(Титульный!$Q$25:$Q$47,Титульный!$K$25:$K$47,'2'!AA18,Титульный!$M$25:$M$47,'2'!AB18)</f>
        <v>0</v>
      </c>
      <c r="K18" s="7">
        <v>5.73</v>
      </c>
      <c r="M18" s="7" t="s">
        <v>756</v>
      </c>
      <c r="AA18" s="7">
        <v>2</v>
      </c>
      <c r="AB18" s="7">
        <v>139</v>
      </c>
    </row>
    <row r="19" spans="1:28" s="7" customFormat="1" ht="21.75" customHeight="1">
      <c r="A19" s="512"/>
      <c r="B19" s="444" t="s">
        <v>36</v>
      </c>
      <c r="C19" s="445" t="s">
        <v>37</v>
      </c>
      <c r="D19" s="446" t="s">
        <v>38</v>
      </c>
      <c r="E19" s="447" t="s">
        <v>38</v>
      </c>
      <c r="F19" s="441">
        <f>SUM(F20:F22)</f>
        <v>0</v>
      </c>
      <c r="G19" s="442">
        <f>SUM(G20:G22)</f>
        <v>0</v>
      </c>
      <c r="H19" s="443">
        <f>SUM(H20:H22)</f>
        <v>0</v>
      </c>
    </row>
    <row r="20" spans="1:28" s="7" customFormat="1" ht="18" customHeight="1">
      <c r="A20" s="513"/>
      <c r="B20" s="460" t="s">
        <v>30</v>
      </c>
      <c r="C20" s="1534" t="s">
        <v>39</v>
      </c>
      <c r="D20" s="1536" t="s">
        <v>38</v>
      </c>
      <c r="E20" s="1538" t="s">
        <v>291</v>
      </c>
      <c r="F20" s="1540">
        <f>SUMIFS(Титульный!$O$25:$O$47,Титульный!$K$25:$K$47,'2'!AA21,Титульный!$M$25:$M$47,'2'!AB21)</f>
        <v>0</v>
      </c>
      <c r="G20" s="1542">
        <f>SUMIFS(Титульный!$P$25:$P$47,Титульный!$K$25:$K$47,'2'!AA21,Титульный!$M$25:$M$47,'2'!AB21)</f>
        <v>0</v>
      </c>
      <c r="H20" s="1533">
        <f>SUMIFS(Титульный!$Q$25:$Q$47,Титульный!$K$25:$K$47,'2'!AA21,Титульный!$M$25:$M$47,'2'!AB21)</f>
        <v>0</v>
      </c>
      <c r="K20" s="7">
        <f>K17+K18</f>
        <v>865.54</v>
      </c>
    </row>
    <row r="21" spans="1:28" s="7" customFormat="1" ht="36" customHeight="1">
      <c r="A21" s="516"/>
      <c r="B21" s="462" t="s">
        <v>292</v>
      </c>
      <c r="C21" s="1535"/>
      <c r="D21" s="1537"/>
      <c r="E21" s="1539"/>
      <c r="F21" s="1541"/>
      <c r="G21" s="1543"/>
      <c r="H21" s="1544"/>
      <c r="M21" s="7" t="s">
        <v>293</v>
      </c>
      <c r="AA21" s="7">
        <v>2</v>
      </c>
      <c r="AB21" s="7">
        <v>141</v>
      </c>
    </row>
    <row r="22" spans="1:28" s="7" customFormat="1" ht="21.75" customHeight="1">
      <c r="A22" s="513"/>
      <c r="B22" s="460" t="s">
        <v>294</v>
      </c>
      <c r="C22" s="463" t="s">
        <v>295</v>
      </c>
      <c r="D22" s="464" t="s">
        <v>38</v>
      </c>
      <c r="E22" s="465" t="s">
        <v>296</v>
      </c>
      <c r="F22" s="466">
        <f>SUMIFS(Титульный!$O$25:$O$47,Титульный!$K$25:$K$47,'2'!AA22,Титульный!$M$25:$M$47,'2'!AB22)</f>
        <v>0</v>
      </c>
      <c r="G22" s="467">
        <f>SUMIFS(Титульный!$P$25:$P$47,Титульный!$K$25:$K$47,'2'!AA22,Титульный!$M$25:$M$47,'2'!AB22)</f>
        <v>0</v>
      </c>
      <c r="H22" s="468">
        <f>SUMIFS(Титульный!$Q$25:$Q$47,Титульный!$K$25:$K$47,'2'!AA22,Титульный!$M$25:$M$47,'2'!AB22)</f>
        <v>0</v>
      </c>
      <c r="M22" s="7" t="s">
        <v>297</v>
      </c>
      <c r="AA22" s="7">
        <v>2</v>
      </c>
      <c r="AB22" s="7">
        <v>145</v>
      </c>
    </row>
    <row r="23" spans="1:28" s="7" customFormat="1" ht="21.75" customHeight="1">
      <c r="A23" s="512"/>
      <c r="B23" s="444" t="s">
        <v>40</v>
      </c>
      <c r="C23" s="445" t="s">
        <v>41</v>
      </c>
      <c r="D23" s="446" t="s">
        <v>42</v>
      </c>
      <c r="E23" s="447" t="s">
        <v>42</v>
      </c>
      <c r="F23" s="441">
        <f>SUM(F24:F28)</f>
        <v>8655772.0600000005</v>
      </c>
      <c r="G23" s="442">
        <f>SUM(G24:G28)</f>
        <v>2497380.06</v>
      </c>
      <c r="H23" s="443">
        <f>SUM(H24:H28)</f>
        <v>2497380.06</v>
      </c>
    </row>
    <row r="24" spans="1:28" s="7" customFormat="1" ht="18.600000000000001" customHeight="1">
      <c r="A24" s="513"/>
      <c r="B24" s="460" t="s">
        <v>30</v>
      </c>
      <c r="C24" s="470"/>
      <c r="D24" s="471"/>
      <c r="E24" s="472"/>
      <c r="F24" s="457"/>
      <c r="G24" s="458"/>
      <c r="H24" s="459"/>
    </row>
    <row r="25" spans="1:28" s="7" customFormat="1" ht="18.600000000000001" customHeight="1">
      <c r="A25" s="516"/>
      <c r="B25" s="462" t="s">
        <v>420</v>
      </c>
      <c r="C25" s="454" t="s">
        <v>298</v>
      </c>
      <c r="D25" s="455" t="s">
        <v>42</v>
      </c>
      <c r="E25" s="456" t="s">
        <v>304</v>
      </c>
      <c r="F25" s="450">
        <f>SUMIFS(Титульный!$O$25:$O$47,Титульный!$K$25:$K$47,'2'!AA25,Титульный!$M$25:$M$47,'2'!AB25)</f>
        <v>6035022.0600000005</v>
      </c>
      <c r="G25" s="451">
        <f>SUMIFS(Титульный!$P$25:$P$47,Титульный!$K$25:$K$47,'2'!AA25,Титульный!$M$25:$M$47,'2'!AB25)</f>
        <v>2497380.06</v>
      </c>
      <c r="H25" s="452">
        <f>SUMIFS(Титульный!$Q$25:$Q$47,Титульный!$K$25:$K$47,'2'!AA25,Титульный!$M$25:$M$47,'2'!AB25)</f>
        <v>2497380.06</v>
      </c>
      <c r="M25" s="7" t="s">
        <v>305</v>
      </c>
      <c r="AA25" s="7">
        <v>5</v>
      </c>
      <c r="AB25" s="7">
        <v>152</v>
      </c>
    </row>
    <row r="26" spans="1:28" s="7" customFormat="1" ht="18.600000000000001" customHeight="1">
      <c r="A26" s="515"/>
      <c r="B26" s="453" t="s">
        <v>46</v>
      </c>
      <c r="C26" s="454" t="s">
        <v>301</v>
      </c>
      <c r="D26" s="455" t="s">
        <v>42</v>
      </c>
      <c r="E26" s="456" t="s">
        <v>306</v>
      </c>
      <c r="F26" s="450">
        <f>SUMIFS(Титульный!$O$25:$O$47,Титульный!$K$25:$K$47,'2'!AA26,Титульный!$M$25:$M$47,'2'!AB26)</f>
        <v>0</v>
      </c>
      <c r="G26" s="451">
        <f>SUMIFS(Титульный!$P$25:$P$47,Титульный!$K$25:$K$47,'2'!AA26,Титульный!$M$25:$M$47,'2'!AB26)</f>
        <v>0</v>
      </c>
      <c r="H26" s="452">
        <f>SUMIFS(Титульный!$Q$25:$Q$47,Титульный!$K$25:$K$47,'2'!AA26,Титульный!$M$25:$M$47,'2'!AB26)</f>
        <v>0</v>
      </c>
      <c r="AA26" s="7">
        <v>2</v>
      </c>
      <c r="AB26" s="7">
        <v>162</v>
      </c>
    </row>
    <row r="27" spans="1:28" s="7" customFormat="1" ht="31.5" customHeight="1">
      <c r="A27" s="516"/>
      <c r="B27" s="453" t="s">
        <v>758</v>
      </c>
      <c r="C27" s="455" t="s">
        <v>766</v>
      </c>
      <c r="D27" s="455" t="s">
        <v>42</v>
      </c>
      <c r="E27" s="670" t="s">
        <v>304</v>
      </c>
      <c r="F27" s="450">
        <f>SUMIFS(Титульный!$O$25:$O$47,Титульный!$K$25:$K$47,'2'!AA27,Титульный!$M$25:$M$47,'2'!AB27)</f>
        <v>2500000</v>
      </c>
      <c r="G27" s="451">
        <f>SUMIFS(Титульный!$P$25:$P$47,Титульный!$K$25:$K$47,'2'!AA27,Титульный!$M$25:$M$47,'2'!AB27)</f>
        <v>0</v>
      </c>
      <c r="H27" s="452">
        <f>SUMIFS(Титульный!$Q$25:$Q$47,Титульный!$K$25:$K$47,'2'!AA27,Титульный!$M$25:$M$47,'2'!AB27)</f>
        <v>0</v>
      </c>
      <c r="M27" s="7" t="s">
        <v>299</v>
      </c>
      <c r="AA27" s="7">
        <v>2</v>
      </c>
      <c r="AB27" s="7">
        <v>152</v>
      </c>
    </row>
    <row r="28" spans="1:28" s="7" customFormat="1" ht="35.25" customHeight="1">
      <c r="A28" s="517"/>
      <c r="B28" s="469" t="s">
        <v>300</v>
      </c>
      <c r="C28" s="636" t="s">
        <v>767</v>
      </c>
      <c r="D28" s="638" t="s">
        <v>42</v>
      </c>
      <c r="E28" s="639" t="s">
        <v>302</v>
      </c>
      <c r="F28" s="450">
        <f>SUMIFS(Титульный!$O$25:$O$47,Титульный!$K$25:$K$47,'2'!AA28,Титульный!$M$25:$M$47,'2'!AB28)</f>
        <v>120750</v>
      </c>
      <c r="G28" s="451">
        <f>SUMIFS(Титульный!$P$25:$P$47,Титульный!$K$25:$K$47,'2'!AA28,Титульный!$M$25:$M$47,'2'!AB28)</f>
        <v>0</v>
      </c>
      <c r="H28" s="452">
        <f>SUMIFS(Титульный!$Q$25:$Q$47,Титульный!$K$25:$K$47,'2'!AA28,Титульный!$M$25:$M$47,'2'!AB28)</f>
        <v>0</v>
      </c>
      <c r="M28" s="7" t="s">
        <v>303</v>
      </c>
      <c r="AA28" s="7">
        <v>2</v>
      </c>
      <c r="AB28" s="7">
        <v>155</v>
      </c>
    </row>
    <row r="29" spans="1:28" s="7" customFormat="1" ht="21.75" customHeight="1">
      <c r="A29" s="512"/>
      <c r="B29" s="444" t="s">
        <v>43</v>
      </c>
      <c r="C29" s="445" t="s">
        <v>44</v>
      </c>
      <c r="D29" s="446" t="s">
        <v>45</v>
      </c>
      <c r="E29" s="447"/>
      <c r="F29" s="441">
        <f>SUM(F30:F30)</f>
        <v>0</v>
      </c>
      <c r="G29" s="442">
        <f>SUM(G30:G30)</f>
        <v>0</v>
      </c>
      <c r="H29" s="443">
        <f>SUM(H30:H30)</f>
        <v>0</v>
      </c>
    </row>
    <row r="30" spans="1:28" s="7" customFormat="1" ht="21" customHeight="1">
      <c r="A30" s="513"/>
      <c r="B30" s="460" t="s">
        <v>30</v>
      </c>
      <c r="C30" s="632"/>
      <c r="D30" s="633"/>
      <c r="E30" s="634"/>
      <c r="F30" s="473">
        <f>SUMIFS(Титульный!$O$25:$O$47,Титульный!$K$25:$K$47,'2'!AA30,Титульный!$M$25:$M$47,'2'!AB30)</f>
        <v>0</v>
      </c>
      <c r="G30" s="474">
        <f>SUMIFS(Титульный!$P$25:$P$47,Титульный!$K$25:$K$47,'2'!AA30,Титульный!$M$25:$M$47,'2'!AB30)</f>
        <v>0</v>
      </c>
      <c r="H30" s="475">
        <f>SUMIFS(Титульный!$Q$25:$Q$47,Титульный!$K$25:$K$47,'2'!AA30,Титульный!$M$25:$M$47,'2'!AB30)</f>
        <v>0</v>
      </c>
      <c r="M30" s="62" t="s">
        <v>233</v>
      </c>
      <c r="AA30" s="7">
        <v>2</v>
      </c>
      <c r="AB30" s="7">
        <v>180</v>
      </c>
    </row>
    <row r="31" spans="1:28" s="7" customFormat="1" ht="21.75" customHeight="1">
      <c r="A31" s="512"/>
      <c r="B31" s="444" t="s">
        <v>47</v>
      </c>
      <c r="C31" s="445" t="s">
        <v>48</v>
      </c>
      <c r="D31" s="446" t="s">
        <v>307</v>
      </c>
      <c r="E31" s="447" t="s">
        <v>307</v>
      </c>
      <c r="F31" s="441">
        <f>SUM(F32:F34)</f>
        <v>0</v>
      </c>
      <c r="G31" s="442">
        <f>SUM(G32:G34)</f>
        <v>0</v>
      </c>
      <c r="H31" s="443">
        <f>SUM(H32:H34)</f>
        <v>0</v>
      </c>
    </row>
    <row r="32" spans="1:28" s="7" customFormat="1" ht="19.899999999999999" customHeight="1">
      <c r="A32" s="515"/>
      <c r="B32" s="453" t="s">
        <v>30</v>
      </c>
      <c r="C32" s="1534" t="s">
        <v>308</v>
      </c>
      <c r="D32" s="1536" t="s">
        <v>307</v>
      </c>
      <c r="E32" s="1538" t="s">
        <v>309</v>
      </c>
      <c r="F32" s="1555"/>
      <c r="G32" s="1556"/>
      <c r="H32" s="1558"/>
    </row>
    <row r="33" spans="1:28" s="7" customFormat="1" ht="21.75" customHeight="1">
      <c r="A33" s="519"/>
      <c r="B33" s="480" t="s">
        <v>310</v>
      </c>
      <c r="C33" s="1535"/>
      <c r="D33" s="1537"/>
      <c r="E33" s="1539"/>
      <c r="F33" s="1555"/>
      <c r="G33" s="1557"/>
      <c r="H33" s="1559"/>
      <c r="M33" s="7" t="s">
        <v>311</v>
      </c>
    </row>
    <row r="34" spans="1:28" s="7" customFormat="1" ht="21.75" customHeight="1">
      <c r="A34" s="517"/>
      <c r="B34" s="469" t="s">
        <v>312</v>
      </c>
      <c r="C34" s="477" t="s">
        <v>313</v>
      </c>
      <c r="D34" s="478" t="s">
        <v>307</v>
      </c>
      <c r="E34" s="479" t="s">
        <v>314</v>
      </c>
      <c r="F34" s="450">
        <f>SUMIFS(Титульный!$O$25:$O$47,Титульный!$K$25:$K$47,'2'!AA34,Титульный!$M$25:$M$47,'2'!AB34)</f>
        <v>0</v>
      </c>
      <c r="G34" s="451">
        <f>SUMIFS(Титульный!$P$25:$P$47,Титульный!$K$25:$K$47,'2'!AA34,Титульный!$M$25:$M$47,'2'!AB34)</f>
        <v>0</v>
      </c>
      <c r="H34" s="452">
        <f>SUMIFS(Титульный!$Q$25:$Q$47,Титульный!$K$25:$K$47,'2'!AA34,Титульный!$M$25:$M$47,'2'!AB34)</f>
        <v>0</v>
      </c>
      <c r="M34" s="7" t="s">
        <v>315</v>
      </c>
      <c r="AA34" s="7">
        <v>2</v>
      </c>
      <c r="AB34" s="7">
        <v>440</v>
      </c>
    </row>
    <row r="35" spans="1:28" s="7" customFormat="1" ht="21.75" customHeight="1">
      <c r="A35" s="512"/>
      <c r="B35" s="444" t="s">
        <v>219</v>
      </c>
      <c r="C35" s="445" t="s">
        <v>49</v>
      </c>
      <c r="D35" s="446" t="s">
        <v>23</v>
      </c>
      <c r="E35" s="447"/>
      <c r="F35" s="441">
        <f>F36</f>
        <v>3999.75</v>
      </c>
      <c r="G35" s="442">
        <f>G36</f>
        <v>0</v>
      </c>
      <c r="H35" s="443">
        <f>H36</f>
        <v>0</v>
      </c>
    </row>
    <row r="36" spans="1:28" s="7" customFormat="1" ht="48" customHeight="1">
      <c r="A36" s="515"/>
      <c r="B36" s="453" t="s">
        <v>50</v>
      </c>
      <c r="C36" s="454" t="s">
        <v>51</v>
      </c>
      <c r="D36" s="455" t="s">
        <v>52</v>
      </c>
      <c r="E36" s="456" t="s">
        <v>52</v>
      </c>
      <c r="F36" s="457">
        <f>Титульный!V46+Титульный!W46+Титульный!X46</f>
        <v>3999.75</v>
      </c>
      <c r="G36" s="458"/>
      <c r="H36" s="459"/>
    </row>
    <row r="37" spans="1:28" s="7" customFormat="1" ht="21.75" customHeight="1" thickBot="1">
      <c r="A37" s="518"/>
      <c r="B37" s="476"/>
      <c r="C37" s="477"/>
      <c r="D37" s="478"/>
      <c r="E37" s="479"/>
      <c r="F37" s="450"/>
      <c r="G37" s="451"/>
      <c r="H37" s="452"/>
    </row>
    <row r="38" spans="1:28" s="45" customFormat="1" ht="21.75" customHeight="1">
      <c r="A38" s="573"/>
      <c r="B38" s="573" t="s">
        <v>53</v>
      </c>
      <c r="C38" s="574" t="s">
        <v>54</v>
      </c>
      <c r="D38" s="575" t="s">
        <v>23</v>
      </c>
      <c r="E38" s="576"/>
      <c r="F38" s="577">
        <f>F39+F58+F67+F71+F78+F80+F99</f>
        <v>190003382.91000003</v>
      </c>
      <c r="G38" s="578">
        <f>G39+G58+G67+G71+G78+G80</f>
        <v>183902187.06</v>
      </c>
      <c r="H38" s="579">
        <f>H39+H58+H67+H71+H78+H80</f>
        <v>183855887.06</v>
      </c>
    </row>
    <row r="39" spans="1:28" s="7" customFormat="1" ht="33" customHeight="1">
      <c r="A39" s="530"/>
      <c r="B39" s="530" t="s">
        <v>55</v>
      </c>
      <c r="C39" s="531" t="s">
        <v>56</v>
      </c>
      <c r="D39" s="532" t="s">
        <v>23</v>
      </c>
      <c r="E39" s="533" t="s">
        <v>316</v>
      </c>
      <c r="F39" s="435">
        <f>F40+F43+F48+F49+F55</f>
        <v>154073947.28</v>
      </c>
      <c r="G39" s="436">
        <f>G40+G43+G48+G49+G55</f>
        <v>153773559.86000001</v>
      </c>
      <c r="H39" s="437">
        <f>H40+H43+H48+H49+H55</f>
        <v>153773559.86000001</v>
      </c>
    </row>
    <row r="40" spans="1:28" s="7" customFormat="1" ht="33" customHeight="1">
      <c r="A40" s="498"/>
      <c r="B40" s="499" t="s">
        <v>57</v>
      </c>
      <c r="C40" s="486" t="s">
        <v>58</v>
      </c>
      <c r="D40" s="487" t="s">
        <v>59</v>
      </c>
      <c r="E40" s="488" t="s">
        <v>316</v>
      </c>
      <c r="F40" s="489">
        <f>SUM(F41:F42)</f>
        <v>117297470.79000001</v>
      </c>
      <c r="G40" s="490">
        <f>SUM(G41:G42)</f>
        <v>116794495</v>
      </c>
      <c r="H40" s="491">
        <f>SUM(H41:H42)</f>
        <v>116794495</v>
      </c>
    </row>
    <row r="41" spans="1:28" s="7" customFormat="1" ht="33" customHeight="1">
      <c r="A41" s="498"/>
      <c r="B41" s="494" t="s">
        <v>317</v>
      </c>
      <c r="C41" s="495" t="s">
        <v>318</v>
      </c>
      <c r="D41" s="496" t="s">
        <v>59</v>
      </c>
      <c r="E41" s="497" t="s">
        <v>319</v>
      </c>
      <c r="F41" s="102">
        <f>SUMIFS(Титульный!$O$69:$O$292,Титульный!$L$69:$L$292,'2'!D41,Титульный!$N$69:$N$292,'2'!E41)</f>
        <v>117297470.79000001</v>
      </c>
      <c r="G41" s="103">
        <f>SUMIFS(Титульный!$P$69:$P$292,Титульный!$L$69:$L$292,'2'!D41,Титульный!$N$69:$N$292,'2'!E41)</f>
        <v>116794495</v>
      </c>
      <c r="H41" s="104">
        <f>SUMIFS(Титульный!$Q$69:$Q$292,Титульный!$L$69:$L$292,'2'!D41,Титульный!$N$69:$N$292,'2'!E41)</f>
        <v>116794495</v>
      </c>
    </row>
    <row r="42" spans="1:28" s="7" customFormat="1" ht="21" customHeight="1">
      <c r="A42" s="498"/>
      <c r="B42" s="494" t="s">
        <v>320</v>
      </c>
      <c r="C42" s="495" t="s">
        <v>321</v>
      </c>
      <c r="D42" s="496" t="s">
        <v>59</v>
      </c>
      <c r="E42" s="497" t="s">
        <v>322</v>
      </c>
      <c r="F42" s="102">
        <f>SUMIFS(Титульный!$O$69:$O$292,Титульный!$L$69:$L$292,'2'!D42,Титульный!$N$69:$N$292,'2'!E42)</f>
        <v>0</v>
      </c>
      <c r="G42" s="103">
        <f>SUMIFS(Титульный!$P$69:$P$292,Титульный!$L$69:$L$292,'2'!D42,Титульный!$N$69:$N$292,'2'!E42)</f>
        <v>0</v>
      </c>
      <c r="H42" s="103">
        <f>SUMIFS(Титульный!$Q$69:$Q$292,Титульный!$L$69:$L$292,'2'!D42,Титульный!$N$69:$N$292,'2'!E42)</f>
        <v>0</v>
      </c>
      <c r="M42" s="7" t="s">
        <v>323</v>
      </c>
    </row>
    <row r="43" spans="1:28" s="7" customFormat="1" ht="21" customHeight="1">
      <c r="A43" s="498"/>
      <c r="B43" s="499" t="s">
        <v>60</v>
      </c>
      <c r="C43" s="486" t="s">
        <v>61</v>
      </c>
      <c r="D43" s="487" t="s">
        <v>62</v>
      </c>
      <c r="E43" s="488" t="s">
        <v>316</v>
      </c>
      <c r="F43" s="489">
        <f>SUM(F44:F47)</f>
        <v>1633099.25</v>
      </c>
      <c r="G43" s="490">
        <f>SUM(G44:G47)</f>
        <v>1722605.8599999999</v>
      </c>
      <c r="H43" s="491">
        <f>SUM(H44:H47)</f>
        <v>1722605.8599999999</v>
      </c>
    </row>
    <row r="44" spans="1:28" s="7" customFormat="1" ht="36" customHeight="1">
      <c r="A44" s="498"/>
      <c r="B44" s="494" t="s">
        <v>324</v>
      </c>
      <c r="C44" s="495" t="s">
        <v>325</v>
      </c>
      <c r="D44" s="496" t="s">
        <v>62</v>
      </c>
      <c r="E44" s="497" t="s">
        <v>326</v>
      </c>
      <c r="F44" s="102">
        <f>SUMIFS(Титульный!$O$69:$O$292,Титульный!$L$69:$L$292,'2'!D44,Титульный!$N$69:$N$292,'2'!E44)</f>
        <v>166176.85999999999</v>
      </c>
      <c r="G44" s="103">
        <f>SUMIFS(Титульный!$P$69:$P$292,Титульный!$L$69:$L$292,'2'!D44,Титульный!$N$69:$N$292,'2'!E44)</f>
        <v>166176.85999999999</v>
      </c>
      <c r="H44" s="104">
        <f>SUMIFS(Титульный!$Q$69:$Q$292,Титульный!$L$69:$L$292,'2'!D44,Титульный!$N$69:$N$292,'2'!E44)</f>
        <v>166176.85999999999</v>
      </c>
      <c r="M44" s="7" t="s">
        <v>327</v>
      </c>
    </row>
    <row r="45" spans="1:28" s="7" customFormat="1" ht="21" customHeight="1">
      <c r="A45" s="498"/>
      <c r="B45" s="494" t="s">
        <v>328</v>
      </c>
      <c r="C45" s="495" t="s">
        <v>329</v>
      </c>
      <c r="D45" s="496" t="s">
        <v>62</v>
      </c>
      <c r="E45" s="497" t="s">
        <v>330</v>
      </c>
      <c r="F45" s="102">
        <f>SUMIFS(Титульный!$O$69:$O$292,Титульный!$L$69:$L$292,'2'!D45,Титульный!$N$69:$N$292,'2'!E45)</f>
        <v>1465022.3900000001</v>
      </c>
      <c r="G45" s="103">
        <f>SUMIFS(Титульный!$P$69:$P$292,Титульный!$L$69:$L$292,'2'!D45,Титульный!$N$69:$N$292,'2'!E45)</f>
        <v>1556429</v>
      </c>
      <c r="H45" s="104">
        <f>SUMIFS(Титульный!$Q$69:$Q$292,Титульный!$L$69:$L$292,'2'!D45,Титульный!$N$69:$N$292,'2'!E45)</f>
        <v>1556429</v>
      </c>
      <c r="M45" s="7" t="s">
        <v>331</v>
      </c>
    </row>
    <row r="46" spans="1:28" s="7" customFormat="1" ht="21" customHeight="1">
      <c r="A46" s="498"/>
      <c r="B46" s="494" t="s">
        <v>332</v>
      </c>
      <c r="C46" s="495" t="s">
        <v>333</v>
      </c>
      <c r="D46" s="496" t="s">
        <v>62</v>
      </c>
      <c r="E46" s="497" t="s">
        <v>334</v>
      </c>
      <c r="F46" s="102">
        <f>SUMIFS(Титульный!$O$69:$O$292,Титульный!$L$69:$L$292,'2'!D46,Титульный!$N$69:$N$292,'2'!E46)</f>
        <v>1900</v>
      </c>
      <c r="G46" s="103">
        <f>SUMIFS(Титульный!$P$69:$P$292,Титульный!$L$69:$L$292,'2'!D46,Титульный!$N$69:$N$292,'2'!E46)</f>
        <v>0</v>
      </c>
      <c r="H46" s="104">
        <f>SUMIFS(Титульный!$Q$69:$Q$292,Титульный!$L$69:$L$292,'2'!D46,Титульный!$N$69:$N$292,'2'!E46)</f>
        <v>0</v>
      </c>
      <c r="M46" s="7" t="s">
        <v>335</v>
      </c>
    </row>
    <row r="47" spans="1:28" s="7" customFormat="1" ht="21" customHeight="1">
      <c r="A47" s="498"/>
      <c r="B47" s="494" t="s">
        <v>336</v>
      </c>
      <c r="C47" s="495" t="s">
        <v>337</v>
      </c>
      <c r="D47" s="496" t="s">
        <v>62</v>
      </c>
      <c r="E47" s="497" t="s">
        <v>322</v>
      </c>
      <c r="F47" s="102">
        <f>SUMIFS(Титульный!$O$69:$O$292,Титульный!$L$69:$L$292,'2'!D47,Титульный!$N$69:$N$292,'2'!E47)</f>
        <v>0</v>
      </c>
      <c r="G47" s="103">
        <f>SUMIFS(Титульный!$P$69:$P$292,Титульный!$L$69:$L$292,'2'!D47,Титульный!$N$69:$N$292,'2'!E47)</f>
        <v>0</v>
      </c>
      <c r="H47" s="104">
        <f>SUMIFS(Титульный!$Q$69:$Q$292,Титульный!$L$69:$L$292,'2'!D47,Титульный!$N$69:$N$292,'2'!E47)</f>
        <v>0</v>
      </c>
      <c r="M47" s="7" t="s">
        <v>338</v>
      </c>
    </row>
    <row r="48" spans="1:28" s="7" customFormat="1" ht="33" customHeight="1">
      <c r="A48" s="498"/>
      <c r="B48" s="499" t="s">
        <v>63</v>
      </c>
      <c r="C48" s="486" t="s">
        <v>64</v>
      </c>
      <c r="D48" s="487" t="s">
        <v>65</v>
      </c>
      <c r="E48" s="488" t="s">
        <v>334</v>
      </c>
      <c r="F48" s="489">
        <f>SUMIFS(Титульный!$O$69:$O$292,Титульный!$L$69:$L$292,'2'!D48,Титульный!$N$69:$N$292,'2'!E48)</f>
        <v>0</v>
      </c>
      <c r="G48" s="490">
        <f>SUMIFS(Титульный!$P$69:$P$292,Титульный!$L$69:$L$292,'2'!D48,Титульный!$N$69:$N$292,'2'!E48)</f>
        <v>0</v>
      </c>
      <c r="H48" s="491">
        <f>SUMIFS(Титульный!$Q$69:$Q$292,Титульный!$L$69:$L$292,'2'!D48,Титульный!$N$69:$N$292,'2'!E48)</f>
        <v>0</v>
      </c>
      <c r="M48" s="7" t="s">
        <v>339</v>
      </c>
    </row>
    <row r="49" spans="1:13" s="7" customFormat="1" ht="33" customHeight="1">
      <c r="A49" s="498"/>
      <c r="B49" s="499" t="s">
        <v>66</v>
      </c>
      <c r="C49" s="486" t="s">
        <v>67</v>
      </c>
      <c r="D49" s="487" t="s">
        <v>68</v>
      </c>
      <c r="E49" s="488" t="s">
        <v>340</v>
      </c>
      <c r="F49" s="489">
        <f>SUM(F50:F54)</f>
        <v>35143377.239999995</v>
      </c>
      <c r="G49" s="490">
        <f>SUM(G50:G54)</f>
        <v>35256459</v>
      </c>
      <c r="H49" s="491">
        <f>SUM(H50:H54)</f>
        <v>35256459</v>
      </c>
    </row>
    <row r="50" spans="1:13" s="7" customFormat="1" ht="33" customHeight="1">
      <c r="A50" s="520"/>
      <c r="B50" s="500" t="s">
        <v>69</v>
      </c>
      <c r="C50" s="495" t="s">
        <v>70</v>
      </c>
      <c r="D50" s="496" t="s">
        <v>68</v>
      </c>
      <c r="E50" s="497" t="s">
        <v>340</v>
      </c>
      <c r="F50" s="102">
        <f>SUMIFS(Титульный!$O$69:$O$326,Титульный!$L$69:$L$326,'2'!D50,Титульный!$N$69:$N$326,'2'!E50)-F51</f>
        <v>35143377.239999995</v>
      </c>
      <c r="G50" s="103">
        <f>SUMIFS(Титульный!$P$69:$P$326,Титульный!$L$69:$L$326,'2'!D50,Титульный!$N$69:$N$326,'2'!E50)-G51</f>
        <v>35256459</v>
      </c>
      <c r="H50" s="104">
        <f>SUMIFS(Титульный!$Q$69:$Q$326,Титульный!$L$69:$L$326,'2'!D50,Титульный!$N$69:$N$326,'2'!E50)-H51</f>
        <v>35256459</v>
      </c>
      <c r="M50" s="7" t="s">
        <v>341</v>
      </c>
    </row>
    <row r="51" spans="1:13" s="7" customFormat="1" ht="21.75" customHeight="1">
      <c r="A51" s="520"/>
      <c r="B51" s="500" t="s">
        <v>71</v>
      </c>
      <c r="C51" s="495" t="s">
        <v>72</v>
      </c>
      <c r="D51" s="496" t="s">
        <v>68</v>
      </c>
      <c r="E51" s="497" t="s">
        <v>340</v>
      </c>
      <c r="F51" s="102">
        <f>SUMIFS(Титульный!$O$69:$O$326,Титульный!$L$69:$L$326,'2'!D51,Титульный!$N$69:$N$326,'2'!E51,Титульный!$R$69:$R$326,M51)</f>
        <v>0</v>
      </c>
      <c r="G51" s="103">
        <f>SUMIFS(Титульный!$P$69:$P$326,Титульный!$L$69:$L$326,'2'!D51,Титульный!$N$69:$N$326,'2'!E51,Титульный!$R$69:$R$326,M51)</f>
        <v>0</v>
      </c>
      <c r="H51" s="104">
        <f>SUMIFS(Титульный!$Q$69:$Q$326,Титульный!$L$69:$L$326,'2'!D51,Титульный!$N$69:$N$326,'2'!E51,Титульный!$R$69:$R$326,M51)</f>
        <v>0</v>
      </c>
      <c r="M51" s="7" t="s">
        <v>1107</v>
      </c>
    </row>
    <row r="52" spans="1:13" s="7" customFormat="1" ht="21.75" customHeight="1">
      <c r="A52" s="520"/>
      <c r="B52" s="500" t="s">
        <v>71</v>
      </c>
      <c r="C52" s="495" t="s">
        <v>759</v>
      </c>
      <c r="D52" s="496" t="s">
        <v>68</v>
      </c>
      <c r="E52" s="497" t="s">
        <v>399</v>
      </c>
      <c r="F52" s="102">
        <f>SUMIFS(Титульный!$O$69:$O$326,Титульный!$L$69:$L$326,'2'!D52,Титульный!$N$69:$N$326,'2'!E52)</f>
        <v>0</v>
      </c>
      <c r="G52" s="103">
        <f>SUMIFS(Титульный!$P$69:$P$326,Титульный!$L$69:$L$326,'2'!D52,Титульный!$N$69:$N$326,'2'!E52)</f>
        <v>0</v>
      </c>
      <c r="H52" s="104">
        <f>SUMIFS(Титульный!$Q$69:$Q$326,Титульный!$L$69:$L$326,'2'!D52,Титульный!$N$69:$N$326,'2'!E52)</f>
        <v>0</v>
      </c>
      <c r="M52" s="7" t="s">
        <v>760</v>
      </c>
    </row>
    <row r="53" spans="1:13" s="7" customFormat="1" ht="21.75" customHeight="1">
      <c r="A53" s="520"/>
      <c r="B53" s="500" t="s">
        <v>71</v>
      </c>
      <c r="C53" s="495" t="s">
        <v>761</v>
      </c>
      <c r="D53" s="496" t="s">
        <v>68</v>
      </c>
      <c r="E53" s="497" t="s">
        <v>322</v>
      </c>
      <c r="F53" s="102">
        <f>SUMIFS(Титульный!$O$69:$O$326,Титульный!$L$69:$L$326,'2'!D53,Титульный!$N$69:$N$326,'2'!E53)</f>
        <v>0</v>
      </c>
      <c r="G53" s="103">
        <f>SUMIFS(Титульный!$P$69:$P$326,Титульный!$L$69:$L$326,'2'!D53,Титульный!$N$69:$N$326,'2'!E53)</f>
        <v>0</v>
      </c>
      <c r="H53" s="104">
        <f>SUMIFS(Титульный!$Q$69:$Q$326,Титульный!$L$69:$L$326,'2'!D53,Титульный!$N$69:$N$326,'2'!E53)</f>
        <v>0</v>
      </c>
      <c r="M53" s="7" t="s">
        <v>749</v>
      </c>
    </row>
    <row r="54" spans="1:13" s="7" customFormat="1" ht="21.75" customHeight="1">
      <c r="A54" s="520"/>
      <c r="B54" s="500" t="s">
        <v>71</v>
      </c>
      <c r="C54" s="1226" t="s">
        <v>1100</v>
      </c>
      <c r="D54" s="1227" t="s">
        <v>68</v>
      </c>
      <c r="E54" s="1228" t="s">
        <v>334</v>
      </c>
      <c r="F54" s="102">
        <f>SUMIFS(Титульный!$O$69:$O$326,Титульный!$L$69:$L$326,'2'!D54,Титульный!$N$69:$N$326,'2'!E54,Титульный!$R$69:$R$326,M54)</f>
        <v>0</v>
      </c>
      <c r="G54" s="103">
        <f>SUMIFS(Титульный!$P$69:$P$326,Титульный!$L$69:$L$326,'2'!D54,Титульный!$N$69:$N$326,'2'!E54,Титульный!$R$69:$R$326,M54)</f>
        <v>0</v>
      </c>
      <c r="H54" s="104">
        <f>SUMIFS(Титульный!$Q$69:$Q$326,Титульный!$L$69:$L$326,'2'!D54,Титульный!$N$69:$N$326,'2'!E54,Титульный!$R$69:$R$326,M54)</f>
        <v>0</v>
      </c>
      <c r="M54" s="7" t="s">
        <v>1101</v>
      </c>
    </row>
    <row r="55" spans="1:13" s="7" customFormat="1" ht="33" customHeight="1">
      <c r="A55" s="498"/>
      <c r="B55" s="499" t="s">
        <v>73</v>
      </c>
      <c r="C55" s="486" t="s">
        <v>768</v>
      </c>
      <c r="D55" s="487" t="s">
        <v>74</v>
      </c>
      <c r="E55" s="488"/>
      <c r="F55" s="489">
        <f>SUM(F56:F57)</f>
        <v>0</v>
      </c>
      <c r="G55" s="490">
        <f>SUM(G56:G57)</f>
        <v>0</v>
      </c>
      <c r="H55" s="491">
        <f>SUM(H56:H57)</f>
        <v>0</v>
      </c>
    </row>
    <row r="56" spans="1:13" s="7" customFormat="1" ht="33" customHeight="1">
      <c r="A56" s="520"/>
      <c r="B56" s="500" t="s">
        <v>75</v>
      </c>
      <c r="C56" s="495" t="s">
        <v>769</v>
      </c>
      <c r="D56" s="496" t="s">
        <v>74</v>
      </c>
      <c r="E56" s="497"/>
      <c r="F56" s="102"/>
      <c r="G56" s="103"/>
      <c r="H56" s="104"/>
    </row>
    <row r="57" spans="1:13" s="7" customFormat="1" ht="21.75" customHeight="1">
      <c r="A57" s="534"/>
      <c r="B57" s="535"/>
      <c r="C57" s="536"/>
      <c r="D57" s="537"/>
      <c r="E57" s="538"/>
      <c r="F57" s="539"/>
      <c r="G57" s="540"/>
      <c r="H57" s="541"/>
    </row>
    <row r="58" spans="1:13" s="7" customFormat="1" ht="21.75" customHeight="1">
      <c r="A58" s="530"/>
      <c r="B58" s="530" t="s">
        <v>76</v>
      </c>
      <c r="C58" s="531" t="s">
        <v>77</v>
      </c>
      <c r="D58" s="532" t="s">
        <v>78</v>
      </c>
      <c r="E58" s="533"/>
      <c r="F58" s="435">
        <f>F59+F64+F65+F66</f>
        <v>328484.37</v>
      </c>
      <c r="G58" s="436">
        <f>G59+G64+G65+G66</f>
        <v>0</v>
      </c>
      <c r="H58" s="437">
        <f>H59+H64+H65+H66</f>
        <v>0</v>
      </c>
    </row>
    <row r="59" spans="1:13" s="7" customFormat="1" ht="33.75" customHeight="1">
      <c r="A59" s="498"/>
      <c r="B59" s="499" t="s">
        <v>79</v>
      </c>
      <c r="C59" s="486" t="s">
        <v>80</v>
      </c>
      <c r="D59" s="487" t="s">
        <v>81</v>
      </c>
      <c r="E59" s="488"/>
      <c r="F59" s="489">
        <f>SUM(F60:F63)</f>
        <v>328484.37</v>
      </c>
      <c r="G59" s="490">
        <f>SUM(G60:G63)</f>
        <v>0</v>
      </c>
      <c r="H59" s="491">
        <f>SUM(H60:H63)</f>
        <v>0</v>
      </c>
    </row>
    <row r="60" spans="1:13" s="7" customFormat="1" ht="33.75" customHeight="1">
      <c r="A60" s="520"/>
      <c r="B60" s="500" t="s">
        <v>397</v>
      </c>
      <c r="C60" s="495" t="s">
        <v>82</v>
      </c>
      <c r="D60" s="496" t="s">
        <v>83</v>
      </c>
      <c r="E60" s="497" t="s">
        <v>392</v>
      </c>
      <c r="F60" s="102">
        <f>SUMIFS(Титульный!$O$69:$O$292,Титульный!$L$69:$L$292,'2'!D60,Титульный!$N$69:$N$292,'2'!E60)</f>
        <v>0</v>
      </c>
      <c r="G60" s="103">
        <f>SUMIFS(Титульный!$P$69:$P$292,Титульный!$L$69:$L$292,'2'!D60,Титульный!$N$69:$N$292,'2'!E60)</f>
        <v>0</v>
      </c>
      <c r="H60" s="104">
        <f>SUMIFS(Титульный!$Q$69:$Q$292,Титульный!$L$69:$L$292,'2'!D60,Титульный!$N$69:$N$292,'2'!E60)</f>
        <v>0</v>
      </c>
    </row>
    <row r="61" spans="1:13" s="7" customFormat="1" ht="39" customHeight="1">
      <c r="A61" s="520"/>
      <c r="B61" s="500" t="s">
        <v>403</v>
      </c>
      <c r="C61" s="495" t="s">
        <v>843</v>
      </c>
      <c r="D61" s="496" t="s">
        <v>83</v>
      </c>
      <c r="E61" s="497" t="s">
        <v>391</v>
      </c>
      <c r="F61" s="102">
        <f>SUMIFS(Титульный!$O$69:$O$292,Титульный!$L$69:$L$292,'2'!D61,Титульный!$N$69:$N$292,'2'!E61)</f>
        <v>287086.34999999998</v>
      </c>
      <c r="G61" s="103">
        <f>SUMIFS(Титульный!$P$69:$P$292,Титульный!$L$69:$L$292,'2'!D61,Титульный!$N$69:$N$292,'2'!E61)</f>
        <v>0</v>
      </c>
      <c r="H61" s="104">
        <f>SUMIFS(Титульный!$Q$69:$Q$292,Титульный!$L$69:$L$292,'2'!D61,Титульный!$N$69:$N$292,'2'!E61)</f>
        <v>0</v>
      </c>
      <c r="M61" s="7" t="s">
        <v>256</v>
      </c>
    </row>
    <row r="62" spans="1:13" s="7" customFormat="1" ht="37.15" customHeight="1">
      <c r="A62" s="498"/>
      <c r="B62" s="494" t="s">
        <v>398</v>
      </c>
      <c r="C62" s="495" t="s">
        <v>844</v>
      </c>
      <c r="D62" s="496" t="s">
        <v>83</v>
      </c>
      <c r="E62" s="497" t="s">
        <v>399</v>
      </c>
      <c r="F62" s="102">
        <f>SUMIFS(Титульный!$O$69:$O$292,Титульный!$L$69:$L$292,'2'!D62,Титульный!$N$69:$N$292,'2'!E62)</f>
        <v>41398.020000000004</v>
      </c>
      <c r="G62" s="103">
        <f>SUMIFS(Титульный!$P$69:$P$292,Титульный!$L$69:$L$292,'2'!D62,Титульный!$N$69:$N$292,'2'!E62)</f>
        <v>0</v>
      </c>
      <c r="H62" s="104">
        <f>SUMIFS(Титульный!$Q$69:$Q$292,Титульный!$L$69:$L$292,'2'!D62,Титульный!$N$69:$N$292,'2'!E62)</f>
        <v>0</v>
      </c>
      <c r="M62" s="7" t="s">
        <v>400</v>
      </c>
    </row>
    <row r="63" spans="1:13" s="7" customFormat="1" ht="37.15" customHeight="1">
      <c r="A63" s="498"/>
      <c r="B63" s="494" t="s">
        <v>840</v>
      </c>
      <c r="C63" s="495" t="s">
        <v>841</v>
      </c>
      <c r="D63" s="496" t="s">
        <v>836</v>
      </c>
      <c r="E63" s="497" t="s">
        <v>837</v>
      </c>
      <c r="F63" s="102">
        <f>SUMIFS(Титульный!$O$69:$O$292,Титульный!$L$69:$L$292,'2'!D63,Титульный!$N$69:$N$292,'2'!E63)</f>
        <v>0</v>
      </c>
      <c r="G63" s="103">
        <f>SUMIFS(Титульный!$P$69:$P$292,Титульный!$L$69:$L$292,'2'!D63,Титульный!$N$69:$N$292,'2'!E63)</f>
        <v>0</v>
      </c>
      <c r="H63" s="104">
        <f>SUMIFS(Титульный!$Q$69:$Q$292,Титульный!$L$69:$L$292,'2'!D63,Титульный!$N$69:$N$292,'2'!E63)</f>
        <v>0</v>
      </c>
      <c r="M63" s="7" t="s">
        <v>396</v>
      </c>
    </row>
    <row r="64" spans="1:13" s="7" customFormat="1" ht="33" customHeight="1">
      <c r="A64" s="498"/>
      <c r="B64" s="499" t="s">
        <v>84</v>
      </c>
      <c r="C64" s="486" t="s">
        <v>85</v>
      </c>
      <c r="D64" s="487" t="s">
        <v>86</v>
      </c>
      <c r="E64" s="488"/>
      <c r="F64" s="489"/>
      <c r="G64" s="490"/>
      <c r="H64" s="491"/>
    </row>
    <row r="65" spans="1:13" s="7" customFormat="1" ht="48" customHeight="1">
      <c r="A65" s="498"/>
      <c r="B65" s="499" t="s">
        <v>87</v>
      </c>
      <c r="C65" s="486" t="s">
        <v>88</v>
      </c>
      <c r="D65" s="487" t="s">
        <v>89</v>
      </c>
      <c r="E65" s="488" t="s">
        <v>390</v>
      </c>
      <c r="F65" s="489">
        <f>SUMIFS(Титульный!$O$69:$O$292,Титульный!$L$69:$L$292,'2'!D65,Титульный!$N$69:$N$292,'2'!E65)</f>
        <v>0</v>
      </c>
      <c r="G65" s="490">
        <f>SUMIFS(Титульный!$P$69:$P$292,Титульный!$L$69:$L$292,'2'!D65,Титульный!$N$69:$N$292,'2'!E65)</f>
        <v>0</v>
      </c>
      <c r="H65" s="491">
        <f>SUMIFS(Титульный!$Q$69:$Q$292,Титульный!$L$69:$L$292,'2'!D65,Титульный!$N$69:$N$292,'2'!E65)</f>
        <v>0</v>
      </c>
    </row>
    <row r="66" spans="1:13" s="7" customFormat="1" ht="21.75" customHeight="1">
      <c r="A66" s="521"/>
      <c r="B66" s="674" t="s">
        <v>770</v>
      </c>
      <c r="C66" s="662" t="s">
        <v>90</v>
      </c>
      <c r="D66" s="675" t="s">
        <v>91</v>
      </c>
      <c r="E66" s="676"/>
      <c r="F66" s="677"/>
      <c r="G66" s="678"/>
      <c r="H66" s="679"/>
    </row>
    <row r="67" spans="1:13" s="7" customFormat="1" ht="21.75" customHeight="1">
      <c r="A67" s="530"/>
      <c r="B67" s="530" t="s">
        <v>92</v>
      </c>
      <c r="C67" s="531" t="s">
        <v>93</v>
      </c>
      <c r="D67" s="532" t="s">
        <v>94</v>
      </c>
      <c r="E67" s="533"/>
      <c r="F67" s="435">
        <f>SUM(F68:F70)</f>
        <v>3924095.84</v>
      </c>
      <c r="G67" s="436">
        <f>SUM(G68:G70)</f>
        <v>3821800</v>
      </c>
      <c r="H67" s="437">
        <f>SUM(H68:H70)</f>
        <v>3775500</v>
      </c>
    </row>
    <row r="68" spans="1:13" s="7" customFormat="1" ht="33" customHeight="1">
      <c r="A68" s="498"/>
      <c r="B68" s="494" t="s">
        <v>95</v>
      </c>
      <c r="C68" s="495" t="s">
        <v>96</v>
      </c>
      <c r="D68" s="496" t="s">
        <v>97</v>
      </c>
      <c r="E68" s="497" t="s">
        <v>401</v>
      </c>
      <c r="F68" s="102">
        <f>SUMIFS(Титульный!$O$69:$O$292,Титульный!$L$69:$L$292,'2'!D68,Титульный!$N$69:$N$292,"&gt;290",Титульный!$N$69:$N$292,"&lt;297")</f>
        <v>3894095.84</v>
      </c>
      <c r="G68" s="103">
        <f>SUMIFS(Титульный!$P$69:$P$292,Титульный!$L$69:$L$292,'2'!D68,Титульный!$N$69:$N$292,"&gt;290",Титульный!$N$69:$N$292,"&lt;297")</f>
        <v>3821800</v>
      </c>
      <c r="H68" s="104">
        <f>SUMIFS(Титульный!$Q$69:$Q$292,Титульный!$L$69:$L$292,'2'!D68,Титульный!$N$69:$N$292,"&gt;290",Титульный!$N$69:$N$292,"&lt;297")</f>
        <v>3775500</v>
      </c>
      <c r="M68" s="7" t="s">
        <v>342</v>
      </c>
    </row>
    <row r="69" spans="1:13" s="7" customFormat="1" ht="33" customHeight="1">
      <c r="A69" s="498"/>
      <c r="B69" s="494" t="s">
        <v>98</v>
      </c>
      <c r="C69" s="495" t="s">
        <v>99</v>
      </c>
      <c r="D69" s="496" t="s">
        <v>100</v>
      </c>
      <c r="E69" s="497" t="s">
        <v>401</v>
      </c>
      <c r="F69" s="501">
        <f>SUMIFS(Титульный!$O$69:$O$292,Титульный!$L$69:$L$292,'2'!D69,Титульный!$N$69:$N$292,"&gt;290",Титульный!$N$69:$N$292,"&lt;297")</f>
        <v>0</v>
      </c>
      <c r="G69" s="103">
        <f>SUMIFS(Титульный!$P$69:$P$292,Титульный!$L$69:$L$292,'2'!D69,Титульный!$N$69:$N$292,"&gt;290",Титульный!$N$69:$N$292,"&lt;297")</f>
        <v>0</v>
      </c>
      <c r="H69" s="502">
        <f>SUMIFS(Титульный!$Q$69:$Q$292,Титульный!$L$69:$L$292,'2'!D69,Титульный!$N$69:$N$292,"&gt;290",Титульный!$N$69:$N$292,"&lt;297")</f>
        <v>0</v>
      </c>
    </row>
    <row r="70" spans="1:13" s="7" customFormat="1" ht="21.75" customHeight="1">
      <c r="A70" s="521"/>
      <c r="B70" s="503" t="s">
        <v>402</v>
      </c>
      <c r="C70" s="536" t="s">
        <v>101</v>
      </c>
      <c r="D70" s="537" t="s">
        <v>102</v>
      </c>
      <c r="E70" s="538" t="s">
        <v>401</v>
      </c>
      <c r="F70" s="539">
        <f>SUMIFS(Титульный!$O$69:$O$292,Титульный!$L$69:$L$292,'2'!D70,Титульный!$N$69:$N$292,"&gt;290",Титульный!$N$69:$N$292,"&lt;297")</f>
        <v>30000</v>
      </c>
      <c r="G70" s="540">
        <f>SUMIFS(Титульный!$P$69:$P$292,Титульный!$L$69:$L$292,'2'!D70,Титульный!$N$69:$N$292,"&gt;290",Титульный!$N$69:$N$292,"&lt;297")</f>
        <v>0</v>
      </c>
      <c r="H70" s="541">
        <f>SUMIFS(Титульный!$Q$69:$Q$292,Титульный!$L$69:$L$292,'2'!D70,Титульный!$N$69:$N$292,"&gt;290",Титульный!$N$69:$N$292,"&lt;297")</f>
        <v>0</v>
      </c>
    </row>
    <row r="71" spans="1:13" s="7" customFormat="1" ht="21.75" customHeight="1">
      <c r="A71" s="530"/>
      <c r="B71" s="530" t="s">
        <v>103</v>
      </c>
      <c r="C71" s="531" t="s">
        <v>104</v>
      </c>
      <c r="D71" s="532" t="s">
        <v>23</v>
      </c>
      <c r="E71" s="533"/>
      <c r="F71" s="435">
        <f>SUM(F72:F77)</f>
        <v>0</v>
      </c>
      <c r="G71" s="436">
        <f>SUM(G72:G77)</f>
        <v>0</v>
      </c>
      <c r="H71" s="437">
        <f>SUM(H72:H77)</f>
        <v>0</v>
      </c>
    </row>
    <row r="72" spans="1:13" s="7" customFormat="1" ht="30.6" customHeight="1">
      <c r="A72" s="498"/>
      <c r="B72" s="494" t="s">
        <v>771</v>
      </c>
      <c r="C72" s="495" t="s">
        <v>105</v>
      </c>
      <c r="D72" s="496" t="s">
        <v>772</v>
      </c>
      <c r="E72" s="497"/>
      <c r="F72" s="102"/>
      <c r="G72" s="103"/>
      <c r="H72" s="104"/>
    </row>
    <row r="73" spans="1:13" s="7" customFormat="1" ht="19.149999999999999" customHeight="1">
      <c r="A73" s="498"/>
      <c r="B73" s="494" t="s">
        <v>773</v>
      </c>
      <c r="C73" s="495" t="s">
        <v>108</v>
      </c>
      <c r="D73" s="496" t="s">
        <v>774</v>
      </c>
      <c r="E73" s="497"/>
      <c r="F73" s="102"/>
      <c r="G73" s="103"/>
      <c r="H73" s="104"/>
    </row>
    <row r="74" spans="1:13" s="7" customFormat="1" ht="33" customHeight="1">
      <c r="A74" s="498"/>
      <c r="B74" s="494" t="s">
        <v>775</v>
      </c>
      <c r="C74" s="495" t="s">
        <v>111</v>
      </c>
      <c r="D74" s="496" t="s">
        <v>776</v>
      </c>
      <c r="E74" s="497"/>
      <c r="F74" s="102"/>
      <c r="G74" s="103"/>
      <c r="H74" s="104"/>
    </row>
    <row r="75" spans="1:13" s="7" customFormat="1" ht="22.15" customHeight="1">
      <c r="A75" s="498"/>
      <c r="B75" s="494" t="s">
        <v>777</v>
      </c>
      <c r="C75" s="495" t="s">
        <v>778</v>
      </c>
      <c r="D75" s="496" t="s">
        <v>106</v>
      </c>
      <c r="E75" s="497"/>
      <c r="F75" s="102"/>
      <c r="G75" s="103"/>
      <c r="H75" s="104"/>
    </row>
    <row r="76" spans="1:13" s="7" customFormat="1" ht="21.75" customHeight="1">
      <c r="A76" s="498"/>
      <c r="B76" s="494" t="s">
        <v>107</v>
      </c>
      <c r="C76" s="495" t="s">
        <v>779</v>
      </c>
      <c r="D76" s="496" t="s">
        <v>109</v>
      </c>
      <c r="E76" s="497"/>
      <c r="F76" s="102"/>
      <c r="G76" s="103"/>
      <c r="H76" s="104"/>
    </row>
    <row r="77" spans="1:13" s="7" customFormat="1" ht="29.45" customHeight="1">
      <c r="A77" s="521"/>
      <c r="B77" s="503" t="s">
        <v>110</v>
      </c>
      <c r="C77" s="536" t="s">
        <v>780</v>
      </c>
      <c r="D77" s="537" t="s">
        <v>112</v>
      </c>
      <c r="E77" s="538"/>
      <c r="F77" s="539"/>
      <c r="G77" s="540"/>
      <c r="H77" s="541"/>
    </row>
    <row r="78" spans="1:13" s="7" customFormat="1" ht="21.75" customHeight="1">
      <c r="A78" s="530"/>
      <c r="B78" s="530" t="s">
        <v>113</v>
      </c>
      <c r="C78" s="531" t="s">
        <v>114</v>
      </c>
      <c r="D78" s="532" t="s">
        <v>23</v>
      </c>
      <c r="E78" s="533"/>
      <c r="F78" s="435">
        <f>SUM(F79:F79)</f>
        <v>0</v>
      </c>
      <c r="G78" s="436">
        <f>SUM(G79:G79)</f>
        <v>0</v>
      </c>
      <c r="H78" s="437">
        <f>SUM(H79:H79)</f>
        <v>0</v>
      </c>
    </row>
    <row r="79" spans="1:13" s="7" customFormat="1" ht="33" customHeight="1">
      <c r="A79" s="521"/>
      <c r="B79" s="503" t="s">
        <v>115</v>
      </c>
      <c r="C79" s="536" t="s">
        <v>116</v>
      </c>
      <c r="D79" s="537" t="s">
        <v>117</v>
      </c>
      <c r="E79" s="538" t="s">
        <v>401</v>
      </c>
      <c r="F79" s="539">
        <f>SUMIFS(Титульный!$O$69:$O$292,Титульный!$L$69:$L$292,'2'!D79,Титульный!$N$69:$N$292,"&gt;290",Титульный!$N$69:$N$292,"&lt;298")</f>
        <v>0</v>
      </c>
      <c r="G79" s="540">
        <f>SUMIFS(Титульный!$P$69:$P$292,Титульный!$L$69:$L$292,'2'!D79,Титульный!$N$69:$N$292,"&gt;290",Титульный!$N$69:$N$292,"&lt;299")</f>
        <v>0</v>
      </c>
      <c r="H79" s="541">
        <f>SUMIFS(Титульный!$Q$69:$Q$292,Титульный!$L$69:$L$292,'2'!D79,Титульный!$N$69:$N$292,"&gt;290",Титульный!$N$69:$N$292,"&lt;299")</f>
        <v>0</v>
      </c>
    </row>
    <row r="80" spans="1:13" s="7" customFormat="1" ht="21.75" customHeight="1">
      <c r="A80" s="530"/>
      <c r="B80" s="530" t="s">
        <v>220</v>
      </c>
      <c r="C80" s="531" t="s">
        <v>118</v>
      </c>
      <c r="D80" s="532" t="s">
        <v>23</v>
      </c>
      <c r="E80" s="533"/>
      <c r="F80" s="435">
        <f>SUM(F81:F83)+F96+F97+F98</f>
        <v>31676855.420000002</v>
      </c>
      <c r="G80" s="436">
        <f>SUM(G81:G83)+G96+G97+G98</f>
        <v>26306827.199999999</v>
      </c>
      <c r="H80" s="437">
        <f>SUM(H81:H83)+H96+H97+H98</f>
        <v>26306827.199999999</v>
      </c>
    </row>
    <row r="81" spans="1:30" s="7" customFormat="1" ht="31.15" customHeight="1">
      <c r="A81" s="498"/>
      <c r="B81" s="499" t="s">
        <v>781</v>
      </c>
      <c r="C81" s="486" t="s">
        <v>119</v>
      </c>
      <c r="D81" s="487" t="s">
        <v>120</v>
      </c>
      <c r="E81" s="488"/>
      <c r="F81" s="489"/>
      <c r="G81" s="490"/>
      <c r="H81" s="491"/>
    </row>
    <row r="82" spans="1:30" s="7" customFormat="1" ht="33.75" customHeight="1">
      <c r="A82" s="498"/>
      <c r="B82" s="499" t="s">
        <v>782</v>
      </c>
      <c r="C82" s="486" t="s">
        <v>121</v>
      </c>
      <c r="D82" s="487" t="s">
        <v>122</v>
      </c>
      <c r="E82" s="488"/>
      <c r="F82" s="489"/>
      <c r="G82" s="490"/>
      <c r="H82" s="491"/>
    </row>
    <row r="83" spans="1:30" s="7" customFormat="1" ht="21.75" customHeight="1">
      <c r="A83" s="498"/>
      <c r="B83" s="499" t="s">
        <v>123</v>
      </c>
      <c r="C83" s="486" t="s">
        <v>124</v>
      </c>
      <c r="D83" s="487" t="s">
        <v>125</v>
      </c>
      <c r="E83" s="488"/>
      <c r="F83" s="489">
        <f>SUM(F84:F95)</f>
        <v>14885842.999999998</v>
      </c>
      <c r="G83" s="490">
        <f>SUM(G84:G95)</f>
        <v>8722227.1999999993</v>
      </c>
      <c r="H83" s="491">
        <f>SUM(H84:H95)</f>
        <v>8722227.1999999993</v>
      </c>
    </row>
    <row r="84" spans="1:30" s="7" customFormat="1" ht="21" hidden="1" customHeight="1">
      <c r="A84" s="521"/>
      <c r="B84" s="645" t="s">
        <v>343</v>
      </c>
      <c r="C84" s="415"/>
      <c r="D84" s="646"/>
      <c r="E84" s="647"/>
      <c r="F84" s="648"/>
      <c r="G84" s="649"/>
      <c r="H84" s="666"/>
      <c r="M84" s="1079" t="s">
        <v>842</v>
      </c>
      <c r="AB84" s="1080"/>
      <c r="AD84" s="1080"/>
    </row>
    <row r="85" spans="1:30" s="7" customFormat="1" ht="21" hidden="1" customHeight="1">
      <c r="A85" s="522"/>
      <c r="B85" s="650" t="s">
        <v>346</v>
      </c>
      <c r="C85" s="416" t="s">
        <v>344</v>
      </c>
      <c r="D85" s="651" t="s">
        <v>125</v>
      </c>
      <c r="E85" s="652" t="s">
        <v>345</v>
      </c>
      <c r="F85" s="653">
        <f>SUMIFS(Титульный!$O$69:$O$292,Титульный!$L$69:$L$292,'2'!D85,Титульный!$N$69:$N$292,'2'!E85)</f>
        <v>161450</v>
      </c>
      <c r="G85" s="654">
        <f>SUMIFS(Титульный!$P$69:$P$292,Титульный!$L$69:$L$292,'2'!D85,Титульный!$N$69:$N$292,'2'!E85)</f>
        <v>161450</v>
      </c>
      <c r="H85" s="667">
        <f>SUMIFS(Титульный!$Q$69:$Q$292,Титульный!$L$69:$L$292,'2'!D85,Титульный!$N$69:$N$292,'2'!E85)</f>
        <v>161450</v>
      </c>
      <c r="M85" s="1081"/>
      <c r="AB85" s="21"/>
      <c r="AD85" s="21"/>
    </row>
    <row r="86" spans="1:30" s="7" customFormat="1" ht="21" hidden="1" customHeight="1">
      <c r="A86" s="523"/>
      <c r="B86" s="655" t="s">
        <v>347</v>
      </c>
      <c r="C86" s="417" t="s">
        <v>348</v>
      </c>
      <c r="D86" s="656" t="s">
        <v>125</v>
      </c>
      <c r="E86" s="657" t="s">
        <v>349</v>
      </c>
      <c r="F86" s="653">
        <f>SUMIFS(Титульный!$O$69:$O$292,Титульный!$L$69:$L$292,'2'!D86,Титульный!$N$69:$N$292,'2'!E86)</f>
        <v>0</v>
      </c>
      <c r="G86" s="654">
        <f>SUMIFS(Титульный!$P$69:$P$292,Титульный!$L$69:$L$292,'2'!D86,Титульный!$N$69:$N$292,'2'!E86)</f>
        <v>0</v>
      </c>
      <c r="H86" s="667">
        <f>SUMIFS(Титульный!$Q$69:$Q$292,Титульный!$L$69:$L$292,'2'!D86,Титульный!$N$69:$N$292,'2'!E86)</f>
        <v>0</v>
      </c>
      <c r="M86" s="1081"/>
      <c r="AB86" s="21"/>
      <c r="AD86" s="21"/>
    </row>
    <row r="87" spans="1:30" s="7" customFormat="1" ht="21" hidden="1" customHeight="1">
      <c r="A87" s="523"/>
      <c r="B87" s="655" t="s">
        <v>350</v>
      </c>
      <c r="C87" s="418" t="s">
        <v>351</v>
      </c>
      <c r="D87" s="643" t="s">
        <v>125</v>
      </c>
      <c r="E87" s="644" t="s">
        <v>352</v>
      </c>
      <c r="F87" s="658">
        <f>SUMIFS(Титульный!$O$69:$O$292,Титульный!$L$69:$L$292,'2'!D87,Титульный!$N$69:$N$292,'2'!E87)</f>
        <v>423816.83</v>
      </c>
      <c r="G87" s="659">
        <f>SUMIFS(Титульный!$P$69:$P$292,Титульный!$L$69:$L$292,'2'!D87,Титульный!$N$69:$N$292,'2'!E87)</f>
        <v>421966</v>
      </c>
      <c r="H87" s="668">
        <f>SUMIFS(Титульный!$Q$69:$Q$292,Титульный!$L$69:$L$292,'2'!D87,Титульный!$N$69:$N$292,'2'!E87)</f>
        <v>421966</v>
      </c>
      <c r="M87" s="1081"/>
      <c r="AB87" s="21"/>
      <c r="AD87" s="21"/>
    </row>
    <row r="88" spans="1:30" s="7" customFormat="1" ht="21" hidden="1" customHeight="1">
      <c r="A88" s="523"/>
      <c r="B88" s="655" t="s">
        <v>353</v>
      </c>
      <c r="C88" s="419" t="s">
        <v>354</v>
      </c>
      <c r="D88" s="643" t="s">
        <v>125</v>
      </c>
      <c r="E88" s="644" t="s">
        <v>355</v>
      </c>
      <c r="F88" s="658">
        <f>SUMIFS(Титульный!$O$69:$O$292,Титульный!$L$69:$L$292,'2'!D88,Титульный!$N$69:$N$292,'2'!E88)</f>
        <v>0</v>
      </c>
      <c r="G88" s="659">
        <f>SUMIFS(Титульный!$P$69:$P$292,Титульный!$L$69:$L$292,'2'!D88,Титульный!$N$69:$N$292,'2'!E88)</f>
        <v>0</v>
      </c>
      <c r="H88" s="668">
        <f>SUMIFS(Титульный!$Q$69:$Q$292,Титульный!$L$69:$L$292,'2'!D88,Титульный!$N$69:$N$292,'2'!E88)</f>
        <v>0</v>
      </c>
      <c r="M88" s="1081"/>
      <c r="AB88" s="21"/>
      <c r="AD88" s="21"/>
    </row>
    <row r="89" spans="1:30" s="7" customFormat="1" ht="21" hidden="1" customHeight="1">
      <c r="A89" s="523"/>
      <c r="B89" s="655" t="s">
        <v>356</v>
      </c>
      <c r="C89" s="419" t="s">
        <v>357</v>
      </c>
      <c r="D89" s="643" t="s">
        <v>125</v>
      </c>
      <c r="E89" s="644" t="s">
        <v>358</v>
      </c>
      <c r="F89" s="658">
        <f>SUMIFS(Титульный!$O$69:$O$292,Титульный!$L$69:$L$292,'2'!D89,Титульный!$N$69:$N$292,'2'!E89)</f>
        <v>6760503.7799999993</v>
      </c>
      <c r="G89" s="659">
        <f>SUMIFS(Титульный!$P$69:$P$292,Титульный!$L$69:$L$292,'2'!D89,Титульный!$N$69:$N$292,'2'!E89)</f>
        <v>1428783</v>
      </c>
      <c r="H89" s="668">
        <f>SUMIFS(Титульный!$Q$69:$Q$292,Титульный!$L$69:$L$292,'2'!D89,Титульный!$N$69:$N$292,'2'!E89)</f>
        <v>1428783</v>
      </c>
      <c r="M89" s="1081"/>
      <c r="AB89" s="21"/>
      <c r="AD89" s="21"/>
    </row>
    <row r="90" spans="1:30" s="7" customFormat="1" ht="21" hidden="1" customHeight="1">
      <c r="A90" s="523"/>
      <c r="B90" s="655" t="s">
        <v>332</v>
      </c>
      <c r="C90" s="417" t="s">
        <v>359</v>
      </c>
      <c r="D90" s="643" t="s">
        <v>125</v>
      </c>
      <c r="E90" s="644" t="s">
        <v>334</v>
      </c>
      <c r="F90" s="658">
        <f>SUMIFS(Титульный!$O$69:$O$292,Титульный!$L$69:$L$292,'2'!D90,Титульный!$N$69:$N$292,'2'!E90)</f>
        <v>3214125.79</v>
      </c>
      <c r="G90" s="659">
        <f>SUMIFS(Титульный!$P$69:$P$292,Титульный!$L$69:$L$292,'2'!D90,Титульный!$N$69:$N$292,'2'!E90)</f>
        <v>2994033.2</v>
      </c>
      <c r="H90" s="668">
        <f>SUMIFS(Титульный!$Q$69:$Q$292,Титульный!$L$69:$L$292,'2'!D90,Титульный!$N$69:$N$292,'2'!E90)</f>
        <v>2994033.2</v>
      </c>
      <c r="M90" s="1081"/>
      <c r="AB90" s="21"/>
      <c r="AD90" s="21"/>
    </row>
    <row r="91" spans="1:30" s="7" customFormat="1" ht="21" hidden="1" customHeight="1">
      <c r="A91" s="524"/>
      <c r="B91" s="660" t="s">
        <v>394</v>
      </c>
      <c r="C91" s="417" t="s">
        <v>359</v>
      </c>
      <c r="D91" s="643" t="s">
        <v>125</v>
      </c>
      <c r="E91" s="644" t="s">
        <v>393</v>
      </c>
      <c r="F91" s="658">
        <f>SUMIFS(Титульный!$O$69:$O$292,Титульный!$L$69:$L$292,'2'!D91,Титульный!$N$69:$N$292,'2'!E91)</f>
        <v>0</v>
      </c>
      <c r="G91" s="659">
        <f>SUMIFS(Титульный!$P$69:$P$292,Титульный!$L$69:$L$292,'2'!D91,Титульный!$N$69:$N$292,'2'!E91)</f>
        <v>0</v>
      </c>
      <c r="H91" s="668">
        <f>SUMIFS(Титульный!$Q$69:$Q$292,Титульный!$L$69:$L$292,'2'!D91,Титульный!$N$69:$N$292,'2'!E91)</f>
        <v>0</v>
      </c>
      <c r="M91" s="1081"/>
      <c r="AB91" s="21"/>
      <c r="AD91" s="21"/>
    </row>
    <row r="92" spans="1:30" s="7" customFormat="1" ht="21" hidden="1" customHeight="1">
      <c r="A92" s="523"/>
      <c r="B92" s="655" t="s">
        <v>360</v>
      </c>
      <c r="C92" s="419" t="s">
        <v>361</v>
      </c>
      <c r="D92" s="643" t="s">
        <v>125</v>
      </c>
      <c r="E92" s="644" t="s">
        <v>362</v>
      </c>
      <c r="F92" s="658">
        <f>SUMIFS(Титульный!$O$69:$O$292,Титульный!$L$69:$L$292,'2'!D92,Титульный!$N$69:$N$292,'2'!E92)</f>
        <v>0</v>
      </c>
      <c r="G92" s="659">
        <f>SUMIFS(Титульный!$P$69:$P$292,Титульный!$L$69:$L$292,'2'!D92,Титульный!$N$69:$N$292,'2'!E92)</f>
        <v>0</v>
      </c>
      <c r="H92" s="668">
        <f>SUMIFS(Титульный!$Q$69:$Q$292,Титульный!$L$69:$L$292,'2'!D92,Титульный!$N$69:$N$292,'2'!E92)</f>
        <v>0</v>
      </c>
      <c r="M92" s="1081"/>
      <c r="AB92" s="21"/>
      <c r="AD92" s="21"/>
    </row>
    <row r="93" spans="1:30" s="7" customFormat="1" ht="21" hidden="1" customHeight="1">
      <c r="A93" s="523"/>
      <c r="B93" s="655" t="s">
        <v>363</v>
      </c>
      <c r="C93" s="417" t="s">
        <v>364</v>
      </c>
      <c r="D93" s="643" t="s">
        <v>125</v>
      </c>
      <c r="E93" s="644" t="s">
        <v>365</v>
      </c>
      <c r="F93" s="658">
        <f>SUMIFS(Титульный!$O$69:$O$292,Титульный!$L$69:$L$292,'2'!D93,Титульный!$N$69:$N$292,'2'!E93)</f>
        <v>3141360</v>
      </c>
      <c r="G93" s="659">
        <f>SUMIFS(Титульный!$P$69:$P$292,Титульный!$L$69:$L$292,'2'!D93,Титульный!$N$69:$N$292,'2'!E93)</f>
        <v>3086295</v>
      </c>
      <c r="H93" s="668">
        <f>SUMIFS(Титульный!$Q$69:$Q$292,Титульный!$L$69:$L$292,'2'!D93,Титульный!$N$69:$N$292,'2'!E93)</f>
        <v>3086295</v>
      </c>
      <c r="M93" s="1081"/>
      <c r="AB93" s="21"/>
      <c r="AD93" s="21"/>
    </row>
    <row r="94" spans="1:30" s="7" customFormat="1" ht="21" hidden="1" customHeight="1">
      <c r="A94" s="523"/>
      <c r="B94" s="655" t="s">
        <v>366</v>
      </c>
      <c r="C94" s="418" t="s">
        <v>367</v>
      </c>
      <c r="D94" s="643" t="s">
        <v>125</v>
      </c>
      <c r="E94" s="644" t="s">
        <v>86</v>
      </c>
      <c r="F94" s="658">
        <f>SUMIFS(Титульный!$O$69:$O$292,Титульный!$L$69:$L$292,'2'!D94,Титульный!$N$69:$N$292,"&gt;340")-F95</f>
        <v>1184586.6000000001</v>
      </c>
      <c r="G94" s="659">
        <f>SUMIFS(Титульный!$P$69:$P$292,Титульный!$L$69:$L$292,'2'!D94,Титульный!$N$69:$N$292,"&gt;340")-G95</f>
        <v>629700</v>
      </c>
      <c r="H94" s="668">
        <f>SUMIFS(Титульный!$Q$69:$Q$292,Титульный!$L$69:$L$292,'2'!D94,Титульный!$N$69:$N$292,"&gt;340")-H95</f>
        <v>629700</v>
      </c>
      <c r="M94" s="1081"/>
      <c r="AB94" s="21"/>
      <c r="AD94" s="21"/>
    </row>
    <row r="95" spans="1:30" s="7" customFormat="1" ht="21" hidden="1" customHeight="1" thickBot="1">
      <c r="A95" s="525"/>
      <c r="B95" s="661" t="s">
        <v>743</v>
      </c>
      <c r="C95" s="419" t="s">
        <v>367</v>
      </c>
      <c r="D95" s="643" t="s">
        <v>125</v>
      </c>
      <c r="E95" s="644" t="s">
        <v>89</v>
      </c>
      <c r="F95" s="658">
        <f>SUMIFS(Титульный!$O$69:$O$292,Титульный!$L$69:$L$292,'2'!D95,Титульный!$N$69:$N$292,'2'!E95)</f>
        <v>0</v>
      </c>
      <c r="G95" s="659">
        <f>SUMIFS(Титульный!$P$69:$P$292,Титульный!$L$69:$L$292,'2'!D95,Титульный!$N$69:$N$292,'2'!E95)</f>
        <v>0</v>
      </c>
      <c r="H95" s="668">
        <f>SUMIFS(Титульный!$Q$69:$Q$292,Титульный!$L$69:$L$292,'2'!D95,Титульный!$N$69:$N$292,'2'!E95)</f>
        <v>0</v>
      </c>
      <c r="M95" s="1082"/>
      <c r="AB95" s="1083"/>
      <c r="AD95" s="1083"/>
    </row>
    <row r="96" spans="1:30" s="7" customFormat="1" ht="40.9" customHeight="1">
      <c r="A96" s="498"/>
      <c r="B96" s="499" t="s">
        <v>834</v>
      </c>
      <c r="C96" s="662" t="s">
        <v>126</v>
      </c>
      <c r="D96" s="487" t="s">
        <v>815</v>
      </c>
      <c r="E96" s="488"/>
      <c r="F96" s="504"/>
      <c r="G96" s="505"/>
      <c r="H96" s="506"/>
    </row>
    <row r="97" spans="1:30" s="7" customFormat="1" ht="21" customHeight="1">
      <c r="A97" s="498"/>
      <c r="B97" s="499" t="s">
        <v>816</v>
      </c>
      <c r="C97" s="662" t="s">
        <v>817</v>
      </c>
      <c r="D97" s="487" t="s">
        <v>744</v>
      </c>
      <c r="E97" s="488" t="s">
        <v>352</v>
      </c>
      <c r="F97" s="504">
        <f>SUMIFS(Титульный!$O$69:$O$292,Титульный!$L$69:$L$292,'2'!D97,Титульный!$N$69:$N$292,'2'!E97)</f>
        <v>16791012.420000002</v>
      </c>
      <c r="G97" s="505">
        <f>SUMIFS(Титульный!$P$69:$P$292,Титульный!$L$69:$L$292,'2'!D97,Титульный!$N$69:$N$292,'2'!E97)</f>
        <v>17584600</v>
      </c>
      <c r="H97" s="506">
        <f>SUMIFS(Титульный!$Q$69:$Q$292,Титульный!$L$69:$L$292,'2'!D97,Титульный!$N$69:$N$292,'2'!E97)</f>
        <v>17584600</v>
      </c>
    </row>
    <row r="98" spans="1:30" s="7" customFormat="1" ht="54" customHeight="1">
      <c r="A98" s="498"/>
      <c r="B98" s="499" t="s">
        <v>869</v>
      </c>
      <c r="C98" s="662" t="s">
        <v>357</v>
      </c>
      <c r="D98" s="487" t="s">
        <v>868</v>
      </c>
      <c r="E98" s="488" t="s">
        <v>334</v>
      </c>
      <c r="F98" s="504">
        <f>SUMIFS(Титульный!$O$69:$O$292,Титульный!$L$69:$L$292,'2'!D98,Титульный!$N$69:$N$292,'2'!E98)</f>
        <v>0</v>
      </c>
      <c r="G98" s="505">
        <f>SUMIFS(Титульный!$P$69:$P$292,Титульный!$L$69:$L$292,'2'!D98,Титульный!$N$69:$N$292,'2'!E98)</f>
        <v>0</v>
      </c>
      <c r="H98" s="506">
        <f>SUMIFS(Титульный!$Q$69:$Q$292,Титульный!$L$69:$L$292,'2'!D98,Титульный!$N$69:$N$292,'2'!E98)</f>
        <v>0</v>
      </c>
    </row>
    <row r="99" spans="1:30" s="7" customFormat="1" ht="30.75" customHeight="1">
      <c r="A99" s="498"/>
      <c r="B99" s="498" t="s">
        <v>818</v>
      </c>
      <c r="C99" s="663" t="s">
        <v>819</v>
      </c>
      <c r="D99" s="492" t="s">
        <v>127</v>
      </c>
      <c r="E99" s="493"/>
      <c r="F99" s="438">
        <f>SUM(F100:F101)</f>
        <v>0</v>
      </c>
      <c r="G99" s="439">
        <f>SUM(G100:G101)</f>
        <v>0</v>
      </c>
      <c r="H99" s="440">
        <f>SUM(H100:H101)</f>
        <v>0</v>
      </c>
    </row>
    <row r="100" spans="1:30" s="7" customFormat="1" ht="49.5" customHeight="1">
      <c r="A100" s="520"/>
      <c r="B100" s="500" t="s">
        <v>820</v>
      </c>
      <c r="C100" s="495" t="s">
        <v>821</v>
      </c>
      <c r="D100" s="496" t="s">
        <v>128</v>
      </c>
      <c r="E100" s="497"/>
      <c r="F100" s="102"/>
      <c r="G100" s="103"/>
      <c r="H100" s="104"/>
    </row>
    <row r="101" spans="1:30" s="7" customFormat="1" ht="33.75" customHeight="1">
      <c r="A101" s="526"/>
      <c r="B101" s="664" t="s">
        <v>822</v>
      </c>
      <c r="C101" s="665" t="s">
        <v>823</v>
      </c>
      <c r="D101" s="507" t="s">
        <v>129</v>
      </c>
      <c r="E101" s="508"/>
      <c r="F101" s="509"/>
      <c r="G101" s="510"/>
      <c r="H101" s="511"/>
    </row>
    <row r="102" spans="1:30" s="7" customFormat="1" ht="33.75" customHeight="1">
      <c r="A102" s="706"/>
      <c r="B102" s="706" t="s">
        <v>870</v>
      </c>
      <c r="C102" s="707" t="s">
        <v>871</v>
      </c>
      <c r="D102" s="708" t="s">
        <v>872</v>
      </c>
      <c r="E102" s="709"/>
      <c r="F102" s="710">
        <v>0</v>
      </c>
      <c r="G102" s="711">
        <v>0</v>
      </c>
      <c r="H102" s="712">
        <v>0</v>
      </c>
    </row>
    <row r="103" spans="1:30" s="7" customFormat="1" ht="21.75" customHeight="1">
      <c r="A103" s="527"/>
      <c r="B103" s="527" t="s">
        <v>221</v>
      </c>
      <c r="C103" s="448" t="s">
        <v>130</v>
      </c>
      <c r="D103" s="449" t="s">
        <v>131</v>
      </c>
      <c r="E103" s="550"/>
      <c r="F103" s="432">
        <f>SUM(F104:F106)</f>
        <v>0</v>
      </c>
      <c r="G103" s="433">
        <f>SUM(G104:G106)</f>
        <v>0</v>
      </c>
      <c r="H103" s="434">
        <f>SUM(H104:H106)</f>
        <v>0</v>
      </c>
    </row>
    <row r="104" spans="1:30" s="7" customFormat="1" ht="33" customHeight="1">
      <c r="A104" s="485"/>
      <c r="B104" s="481" t="s">
        <v>222</v>
      </c>
      <c r="C104" s="482" t="s">
        <v>132</v>
      </c>
      <c r="D104" s="483" t="s">
        <v>45</v>
      </c>
      <c r="E104" s="484" t="s">
        <v>368</v>
      </c>
      <c r="F104" s="429">
        <f>Титульный!K20</f>
        <v>0</v>
      </c>
      <c r="G104" s="430">
        <f>Титульный!L20</f>
        <v>0</v>
      </c>
      <c r="H104" s="431">
        <f>Титульный!M20</f>
        <v>0</v>
      </c>
      <c r="M104" s="7" t="s">
        <v>747</v>
      </c>
      <c r="T104" s="1531">
        <v>-3612</v>
      </c>
      <c r="U104" s="1531"/>
      <c r="AD104" s="7" t="s">
        <v>733</v>
      </c>
    </row>
    <row r="105" spans="1:30" s="7" customFormat="1" ht="21.75" customHeight="1">
      <c r="A105" s="485"/>
      <c r="B105" s="481" t="s">
        <v>223</v>
      </c>
      <c r="C105" s="482" t="s">
        <v>133</v>
      </c>
      <c r="D105" s="483"/>
      <c r="E105" s="484"/>
      <c r="F105" s="429"/>
      <c r="G105" s="430"/>
      <c r="H105" s="431"/>
      <c r="U105" s="1531">
        <v>-18427</v>
      </c>
      <c r="V105" s="1531"/>
    </row>
    <row r="106" spans="1:30" s="7" customFormat="1" ht="21.75" customHeight="1">
      <c r="A106" s="528"/>
      <c r="B106" s="551" t="s">
        <v>224</v>
      </c>
      <c r="C106" s="552" t="s">
        <v>134</v>
      </c>
      <c r="D106" s="553"/>
      <c r="E106" s="554"/>
      <c r="F106" s="555"/>
      <c r="G106" s="556"/>
      <c r="H106" s="557"/>
    </row>
    <row r="107" spans="1:30" s="7" customFormat="1" ht="21.75" customHeight="1">
      <c r="A107" s="527"/>
      <c r="B107" s="527" t="s">
        <v>225</v>
      </c>
      <c r="C107" s="448" t="s">
        <v>135</v>
      </c>
      <c r="D107" s="449" t="s">
        <v>23</v>
      </c>
      <c r="E107" s="550"/>
      <c r="F107" s="432">
        <f>F108</f>
        <v>0</v>
      </c>
      <c r="G107" s="433">
        <f>G108</f>
        <v>0</v>
      </c>
      <c r="H107" s="434">
        <f>H108</f>
        <v>0</v>
      </c>
    </row>
    <row r="108" spans="1:30" s="7" customFormat="1" ht="33" customHeight="1">
      <c r="A108" s="485"/>
      <c r="B108" s="481" t="s">
        <v>136</v>
      </c>
      <c r="C108" s="482" t="s">
        <v>137</v>
      </c>
      <c r="D108" s="483" t="s">
        <v>138</v>
      </c>
      <c r="E108" s="484"/>
      <c r="F108" s="429">
        <f>Титульный!V47+Титульный!W47+Титульный!X47</f>
        <v>0</v>
      </c>
      <c r="G108" s="430"/>
      <c r="H108" s="431"/>
    </row>
    <row r="109" spans="1:30" s="7" customFormat="1" ht="21.75" customHeight="1">
      <c r="A109" s="529"/>
      <c r="B109" s="558"/>
      <c r="C109" s="552"/>
      <c r="D109" s="553"/>
      <c r="E109" s="554"/>
      <c r="F109" s="555"/>
      <c r="G109" s="556"/>
      <c r="H109" s="557"/>
    </row>
    <row r="110" spans="1:30" s="13" customFormat="1" ht="15.75">
      <c r="B110" s="2"/>
    </row>
    <row r="111" spans="1:30" s="12" customFormat="1" ht="13.15" customHeight="1">
      <c r="B111" s="1550" t="s">
        <v>404</v>
      </c>
      <c r="C111" s="1550"/>
      <c r="D111" s="1550"/>
      <c r="E111" s="1550"/>
      <c r="F111" s="1550"/>
      <c r="G111" s="1550"/>
      <c r="H111" s="1550"/>
    </row>
    <row r="112" spans="1:30" s="12" customFormat="1" ht="13.15" customHeight="1">
      <c r="B112" s="1550" t="s">
        <v>369</v>
      </c>
      <c r="C112" s="1550"/>
      <c r="D112" s="1550"/>
      <c r="E112" s="1550"/>
      <c r="F112" s="1550"/>
      <c r="G112" s="1550"/>
      <c r="H112" s="1550"/>
    </row>
    <row r="113" spans="2:8" s="12" customFormat="1" ht="13.15" customHeight="1">
      <c r="B113" s="1550" t="s">
        <v>370</v>
      </c>
      <c r="C113" s="1550"/>
      <c r="D113" s="1550"/>
      <c r="E113" s="1550"/>
      <c r="F113" s="1550"/>
      <c r="G113" s="1550"/>
      <c r="H113" s="1550"/>
    </row>
    <row r="114" spans="2:8" s="12" customFormat="1" ht="13.15" customHeight="1">
      <c r="B114" s="1551" t="s">
        <v>226</v>
      </c>
      <c r="C114" s="1552"/>
      <c r="D114" s="1552"/>
      <c r="E114" s="1552"/>
      <c r="F114" s="1552"/>
      <c r="G114" s="1552"/>
      <c r="H114" s="1552"/>
    </row>
    <row r="115" spans="2:8" s="12" customFormat="1" ht="13.15" customHeight="1">
      <c r="B115" s="1551" t="s">
        <v>227</v>
      </c>
      <c r="C115" s="1552"/>
      <c r="D115" s="1552"/>
      <c r="E115" s="1552"/>
      <c r="F115" s="1552"/>
      <c r="G115" s="1552"/>
      <c r="H115" s="1552"/>
    </row>
    <row r="116" spans="2:8" s="12" customFormat="1">
      <c r="B116" s="1551" t="s">
        <v>873</v>
      </c>
      <c r="C116" s="1552"/>
      <c r="D116" s="1552"/>
      <c r="E116" s="1552"/>
      <c r="F116" s="1552"/>
      <c r="G116" s="1552"/>
      <c r="H116" s="1552"/>
    </row>
    <row r="117" spans="2:8" s="12" customFormat="1" ht="30.6" customHeight="1">
      <c r="B117" s="1551" t="s">
        <v>228</v>
      </c>
      <c r="C117" s="1552"/>
      <c r="D117" s="1552"/>
      <c r="E117" s="1552"/>
      <c r="F117" s="1552"/>
      <c r="G117" s="1552"/>
      <c r="H117" s="1552"/>
    </row>
    <row r="118" spans="2:8" s="12" customFormat="1" ht="15" customHeight="1">
      <c r="B118" s="1551" t="s">
        <v>229</v>
      </c>
      <c r="C118" s="1552"/>
      <c r="D118" s="1552"/>
      <c r="E118" s="1552"/>
      <c r="F118" s="1552"/>
      <c r="G118" s="1552"/>
      <c r="H118" s="1552"/>
    </row>
    <row r="119" spans="2:8" s="12" customFormat="1" ht="27" customHeight="1">
      <c r="B119" s="1550" t="s">
        <v>845</v>
      </c>
      <c r="C119" s="1550"/>
      <c r="D119" s="1550"/>
      <c r="E119" s="1550"/>
      <c r="F119" s="1550"/>
      <c r="G119" s="1550"/>
      <c r="H119" s="1550"/>
    </row>
    <row r="120" spans="2:8" s="12" customFormat="1" ht="42.6" customHeight="1">
      <c r="B120" s="1550" t="s">
        <v>405</v>
      </c>
      <c r="C120" s="1550"/>
      <c r="D120" s="1550"/>
      <c r="E120" s="1550"/>
      <c r="F120" s="1550"/>
      <c r="G120" s="1550"/>
      <c r="H120" s="1550"/>
    </row>
    <row r="121" spans="2:8" s="12" customFormat="1" ht="39.6" customHeight="1">
      <c r="B121" s="1550" t="s">
        <v>406</v>
      </c>
      <c r="C121" s="1550"/>
      <c r="D121" s="1550"/>
      <c r="E121" s="1550"/>
      <c r="F121" s="1550"/>
      <c r="G121" s="1550"/>
      <c r="H121" s="1550"/>
    </row>
    <row r="122" spans="2:8" s="12" customFormat="1" ht="27.75" customHeight="1">
      <c r="B122" s="1550" t="s">
        <v>838</v>
      </c>
      <c r="C122" s="1550"/>
      <c r="D122" s="1550"/>
      <c r="E122" s="1550"/>
      <c r="F122" s="1550"/>
      <c r="G122" s="1550"/>
      <c r="H122" s="1550"/>
    </row>
    <row r="123" spans="2:8" s="12" customFormat="1" ht="15.6" customHeight="1">
      <c r="B123" s="1550" t="s">
        <v>407</v>
      </c>
      <c r="C123" s="1550"/>
      <c r="D123" s="1550"/>
      <c r="E123" s="1550"/>
      <c r="F123" s="1550"/>
      <c r="G123" s="1550"/>
      <c r="H123" s="1550"/>
    </row>
    <row r="124" spans="2:8" s="12" customFormat="1" ht="47.45" customHeight="1">
      <c r="B124" s="1550" t="s">
        <v>408</v>
      </c>
      <c r="C124" s="1550"/>
      <c r="D124" s="1550"/>
      <c r="E124" s="1550"/>
      <c r="F124" s="1550"/>
      <c r="G124" s="1550"/>
      <c r="H124" s="1550"/>
    </row>
    <row r="130" spans="6:8">
      <c r="F130" s="110" t="e">
        <f>Титульный!#REF!+Титульный!#REF!+Титульный!#REF!</f>
        <v>#REF!</v>
      </c>
      <c r="G130" s="110" t="e">
        <f>Титульный!#REF!+Титульный!#REF!+Титульный!#REF!</f>
        <v>#REF!</v>
      </c>
      <c r="H130" s="110" t="e">
        <f>Титульный!#REF!+Титульный!#REF!+Титульный!#REF!</f>
        <v>#REF!</v>
      </c>
    </row>
    <row r="131" spans="6:8">
      <c r="F131" s="110" t="e">
        <f>F130-F8</f>
        <v>#REF!</v>
      </c>
      <c r="G131" s="110" t="e">
        <f>G130-G8</f>
        <v>#REF!</v>
      </c>
      <c r="H131" s="110" t="e">
        <f>H130-H8</f>
        <v>#REF!</v>
      </c>
    </row>
  </sheetData>
  <sheetProtection formatCells="0" insertColumns="0" insertRows="0" insertHyperlinks="0" deleteColumns="0" sort="0" autoFilter="0" pivotTables="0"/>
  <mergeCells count="41">
    <mergeCell ref="A3:A5"/>
    <mergeCell ref="A1:H1"/>
    <mergeCell ref="B116:H116"/>
    <mergeCell ref="C32:C33"/>
    <mergeCell ref="D32:D33"/>
    <mergeCell ref="E32:E33"/>
    <mergeCell ref="F32:F33"/>
    <mergeCell ref="G32:G33"/>
    <mergeCell ref="H32:H33"/>
    <mergeCell ref="B3:B5"/>
    <mergeCell ref="C3:C5"/>
    <mergeCell ref="D3:D5"/>
    <mergeCell ref="E3:E5"/>
    <mergeCell ref="F3:H3"/>
    <mergeCell ref="B117:H117"/>
    <mergeCell ref="B111:H111"/>
    <mergeCell ref="B112:H112"/>
    <mergeCell ref="B113:H113"/>
    <mergeCell ref="B114:H114"/>
    <mergeCell ref="B115:H115"/>
    <mergeCell ref="B123:H123"/>
    <mergeCell ref="B124:H124"/>
    <mergeCell ref="B118:H118"/>
    <mergeCell ref="B119:H119"/>
    <mergeCell ref="B120:H120"/>
    <mergeCell ref="B121:H121"/>
    <mergeCell ref="B122:H122"/>
    <mergeCell ref="U105:V105"/>
    <mergeCell ref="T104:U104"/>
    <mergeCell ref="H11:H12"/>
    <mergeCell ref="C20:C21"/>
    <mergeCell ref="D20:D21"/>
    <mergeCell ref="E20:E21"/>
    <mergeCell ref="F20:F21"/>
    <mergeCell ref="G20:G21"/>
    <mergeCell ref="H20:H21"/>
    <mergeCell ref="C11:C12"/>
    <mergeCell ref="D11:D12"/>
    <mergeCell ref="E11:E12"/>
    <mergeCell ref="F11:F12"/>
    <mergeCell ref="G11:G12"/>
  </mergeCells>
  <pageMargins left="0.31496062992125984" right="0.31496062992125984" top="0.74803149606299213" bottom="0.35433070866141736"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sheetPr codeName="Лист4">
    <tabColor theme="6" tint="0.59999389629810485"/>
  </sheetPr>
  <dimension ref="A1:AD157"/>
  <sheetViews>
    <sheetView showZeros="0" view="pageBreakPreview" zoomScale="75" zoomScaleNormal="100" zoomScaleSheetLayoutView="75" workbookViewId="0">
      <selection activeCell="B78" sqref="B78"/>
    </sheetView>
  </sheetViews>
  <sheetFormatPr defaultRowHeight="12.75"/>
  <cols>
    <col min="2" max="2" width="43.85546875" customWidth="1"/>
    <col min="3" max="3" width="49.42578125" customWidth="1"/>
    <col min="4" max="5" width="10.7109375" customWidth="1"/>
    <col min="6" max="6" width="14.28515625" customWidth="1"/>
    <col min="7" max="7" width="9.42578125" customWidth="1"/>
    <col min="8" max="8" width="15.5703125" customWidth="1"/>
    <col min="9" max="10" width="14.7109375" customWidth="1"/>
    <col min="15" max="15" width="13" customWidth="1"/>
    <col min="16" max="16" width="14.140625" customWidth="1"/>
    <col min="17" max="17" width="15.42578125" customWidth="1"/>
    <col min="27" max="30" width="14.7109375" customWidth="1"/>
  </cols>
  <sheetData>
    <row r="1" spans="1:30" s="4" customFormat="1" ht="21.75">
      <c r="B1" s="1554" t="s">
        <v>230</v>
      </c>
      <c r="C1" s="1554"/>
      <c r="D1" s="1554"/>
      <c r="E1" s="1554"/>
      <c r="F1" s="1554"/>
      <c r="G1" s="1554"/>
      <c r="H1" s="1554"/>
      <c r="I1" s="1554"/>
      <c r="J1" s="1554"/>
      <c r="AA1" s="1070"/>
      <c r="AB1" s="1070"/>
      <c r="AC1" s="1070"/>
      <c r="AD1" s="1070"/>
    </row>
    <row r="2" spans="1:30" s="4" customFormat="1" ht="18.75">
      <c r="B2" s="3"/>
      <c r="C2" s="3"/>
    </row>
    <row r="3" spans="1:30" s="13" customFormat="1" ht="19.5" customHeight="1">
      <c r="A3" s="1580" t="s">
        <v>139</v>
      </c>
      <c r="B3" s="1583" t="s">
        <v>0</v>
      </c>
      <c r="C3" s="1584"/>
      <c r="D3" s="1563" t="s">
        <v>1</v>
      </c>
      <c r="E3" s="1595" t="s">
        <v>140</v>
      </c>
      <c r="F3" s="1601" t="s">
        <v>799</v>
      </c>
      <c r="G3" s="1604" t="s">
        <v>800</v>
      </c>
      <c r="H3" s="1596" t="s">
        <v>5</v>
      </c>
      <c r="I3" s="1563"/>
      <c r="J3" s="1563"/>
      <c r="AA3" s="8"/>
      <c r="AB3" s="8"/>
      <c r="AC3" s="8"/>
      <c r="AD3" s="8"/>
    </row>
    <row r="4" spans="1:30" s="13" customFormat="1" ht="15.75">
      <c r="A4" s="1581"/>
      <c r="B4" s="1585"/>
      <c r="C4" s="1586"/>
      <c r="D4" s="1563"/>
      <c r="E4" s="1595"/>
      <c r="F4" s="1602"/>
      <c r="G4" s="1605"/>
      <c r="H4" s="424">
        <v>2025</v>
      </c>
      <c r="I4" s="16">
        <v>2026</v>
      </c>
      <c r="J4" s="17">
        <v>2027</v>
      </c>
      <c r="AA4" s="1072"/>
      <c r="AB4" s="1072"/>
      <c r="AC4" s="1072"/>
      <c r="AD4" s="1072"/>
    </row>
    <row r="5" spans="1:30" s="13" customFormat="1" ht="47.25">
      <c r="A5" s="1582"/>
      <c r="B5" s="1587"/>
      <c r="C5" s="1588"/>
      <c r="D5" s="1563"/>
      <c r="E5" s="1595"/>
      <c r="F5" s="1603"/>
      <c r="G5" s="1606"/>
      <c r="H5" s="425" t="s">
        <v>2</v>
      </c>
      <c r="I5" s="32" t="s">
        <v>3</v>
      </c>
      <c r="J5" s="33" t="s">
        <v>4</v>
      </c>
      <c r="AA5" s="8"/>
      <c r="AB5" s="8"/>
      <c r="AC5" s="8"/>
      <c r="AD5" s="8"/>
    </row>
    <row r="6" spans="1:30" s="13" customFormat="1" ht="16.5" customHeight="1">
      <c r="A6" s="34">
        <v>1</v>
      </c>
      <c r="B6" s="1597" t="s">
        <v>7</v>
      </c>
      <c r="C6" s="1598"/>
      <c r="D6" s="34" t="s">
        <v>8</v>
      </c>
      <c r="E6" s="408" t="s">
        <v>9</v>
      </c>
      <c r="F6" s="427" t="s">
        <v>801</v>
      </c>
      <c r="G6" s="428" t="s">
        <v>802</v>
      </c>
      <c r="H6" s="426">
        <v>5</v>
      </c>
      <c r="I6" s="67">
        <v>6</v>
      </c>
      <c r="J6" s="68">
        <v>7</v>
      </c>
      <c r="O6" s="13" t="s">
        <v>371</v>
      </c>
      <c r="AA6" s="1084"/>
      <c r="AB6" s="1084"/>
      <c r="AC6" s="1084"/>
      <c r="AD6" s="1084"/>
    </row>
    <row r="7" spans="1:30" s="13" customFormat="1" ht="32.25" customHeight="1">
      <c r="A7" s="620">
        <v>1</v>
      </c>
      <c r="B7" s="1599" t="s">
        <v>200</v>
      </c>
      <c r="C7" s="1600"/>
      <c r="D7" s="621" t="s">
        <v>141</v>
      </c>
      <c r="E7" s="622" t="s">
        <v>23</v>
      </c>
      <c r="F7" s="623"/>
      <c r="G7" s="624"/>
      <c r="H7" s="625">
        <f>'2'!F80</f>
        <v>31676855.420000002</v>
      </c>
      <c r="I7" s="626">
        <f>'2'!G80</f>
        <v>26306827.199999999</v>
      </c>
      <c r="J7" s="1199">
        <f>'2'!H80</f>
        <v>26306827.199999999</v>
      </c>
      <c r="O7" s="73">
        <f>H7-H10-H15</f>
        <v>0</v>
      </c>
      <c r="P7" s="73">
        <f>I7-I10-I15</f>
        <v>0</v>
      </c>
      <c r="Q7" s="73">
        <f>J7-J10-J15</f>
        <v>0</v>
      </c>
      <c r="AA7" s="1085"/>
      <c r="AB7" s="1085"/>
      <c r="AC7" s="1085"/>
      <c r="AD7" s="1085"/>
    </row>
    <row r="8" spans="1:30" s="7" customFormat="1" ht="112.15" customHeight="1">
      <c r="A8" s="602" t="s">
        <v>142</v>
      </c>
      <c r="B8" s="1593" t="s">
        <v>198</v>
      </c>
      <c r="C8" s="1594"/>
      <c r="D8" s="603" t="s">
        <v>143</v>
      </c>
      <c r="E8" s="604" t="s">
        <v>23</v>
      </c>
      <c r="F8" s="605"/>
      <c r="G8" s="606"/>
      <c r="H8" s="1200"/>
      <c r="I8" s="1201"/>
      <c r="J8" s="629"/>
      <c r="AA8" s="1086"/>
      <c r="AB8" s="1086"/>
      <c r="AC8" s="1086"/>
      <c r="AD8" s="1086"/>
    </row>
    <row r="9" spans="1:30" s="7" customFormat="1" ht="32.25" customHeight="1">
      <c r="A9" s="602" t="s">
        <v>144</v>
      </c>
      <c r="B9" s="1593" t="s">
        <v>201</v>
      </c>
      <c r="C9" s="1594"/>
      <c r="D9" s="603" t="s">
        <v>145</v>
      </c>
      <c r="E9" s="604" t="s">
        <v>23</v>
      </c>
      <c r="F9" s="605"/>
      <c r="G9" s="606"/>
      <c r="H9" s="1200"/>
      <c r="I9" s="1201"/>
      <c r="J9" s="1202"/>
      <c r="AA9" s="1086"/>
      <c r="AB9" s="1086"/>
      <c r="AC9" s="1086"/>
      <c r="AD9" s="1086"/>
    </row>
    <row r="10" spans="1:30" s="7" customFormat="1" ht="32.25" customHeight="1">
      <c r="A10" s="602" t="s">
        <v>146</v>
      </c>
      <c r="B10" s="1593" t="s">
        <v>202</v>
      </c>
      <c r="C10" s="1594"/>
      <c r="D10" s="603" t="s">
        <v>148</v>
      </c>
      <c r="E10" s="604" t="s">
        <v>23</v>
      </c>
      <c r="F10" s="605"/>
      <c r="G10" s="606"/>
      <c r="H10" s="1200">
        <f>Титульный!O18+Титульный!O19+Титульный!O20</f>
        <v>0</v>
      </c>
      <c r="I10" s="1201">
        <f>Титульный!P18+Титульный!P19+Титульный!P20</f>
        <v>0</v>
      </c>
      <c r="J10" s="1202">
        <f>Титульный!Q18+Титульный!Q19+Титульный!Q20</f>
        <v>0</v>
      </c>
      <c r="AA10" s="1086"/>
      <c r="AB10" s="1086"/>
      <c r="AC10" s="1086"/>
      <c r="AD10" s="1086"/>
    </row>
    <row r="11" spans="1:30" s="7" customFormat="1" ht="32.25" customHeight="1">
      <c r="A11" s="587" t="s">
        <v>803</v>
      </c>
      <c r="B11" s="1576" t="s">
        <v>153</v>
      </c>
      <c r="C11" s="1577"/>
      <c r="D11" s="669" t="s">
        <v>804</v>
      </c>
      <c r="E11" s="69" t="s">
        <v>23</v>
      </c>
      <c r="F11" s="80" t="s">
        <v>23</v>
      </c>
      <c r="G11" s="82"/>
      <c r="H11" s="588">
        <f>Титульный!O19+Титульный!O18+Титульный!O20</f>
        <v>0</v>
      </c>
      <c r="I11" s="81">
        <f>Титульный!P19+Титульный!P18+Титульный!P20</f>
        <v>0</v>
      </c>
      <c r="J11" s="82">
        <f>Титульный!Q19+Титульный!Q18+Титульный!Q20</f>
        <v>0</v>
      </c>
      <c r="AA11" s="1087"/>
      <c r="AB11" s="1087"/>
      <c r="AC11" s="1087"/>
      <c r="AD11" s="1087"/>
    </row>
    <row r="12" spans="1:30" s="7" customFormat="1" ht="32.25" customHeight="1">
      <c r="A12" s="587"/>
      <c r="B12" s="641" t="s">
        <v>805</v>
      </c>
      <c r="C12" s="642"/>
      <c r="D12" s="669" t="s">
        <v>806</v>
      </c>
      <c r="E12" s="69"/>
      <c r="F12" s="80"/>
      <c r="G12" s="82"/>
      <c r="H12" s="588"/>
      <c r="I12" s="81"/>
      <c r="J12" s="82"/>
      <c r="AA12" s="1087"/>
      <c r="AB12" s="1087"/>
      <c r="AC12" s="1087"/>
      <c r="AD12" s="1087"/>
    </row>
    <row r="13" spans="1:30" s="7" customFormat="1" ht="32.25" customHeight="1">
      <c r="A13" s="587"/>
      <c r="B13" s="641" t="s">
        <v>807</v>
      </c>
      <c r="C13" s="642"/>
      <c r="D13" s="669" t="s">
        <v>808</v>
      </c>
      <c r="E13" s="69"/>
      <c r="F13" s="80"/>
      <c r="G13" s="82"/>
      <c r="H13" s="588"/>
      <c r="I13" s="81"/>
      <c r="J13" s="82"/>
      <c r="AA13" s="1087"/>
      <c r="AB13" s="1087"/>
      <c r="AC13" s="1087"/>
      <c r="AD13" s="1087"/>
    </row>
    <row r="14" spans="1:30" s="7" customFormat="1" ht="32.25" customHeight="1">
      <c r="A14" s="580" t="s">
        <v>809</v>
      </c>
      <c r="B14" s="1564" t="s">
        <v>810</v>
      </c>
      <c r="C14" s="1565"/>
      <c r="D14" s="640" t="s">
        <v>839</v>
      </c>
      <c r="E14" s="83" t="s">
        <v>23</v>
      </c>
      <c r="F14" s="591" t="s">
        <v>23</v>
      </c>
      <c r="G14" s="592"/>
      <c r="H14" s="593"/>
      <c r="I14" s="596"/>
      <c r="J14" s="592"/>
      <c r="AA14" s="1087"/>
      <c r="AB14" s="1087"/>
      <c r="AC14" s="1087"/>
      <c r="AD14" s="1087"/>
    </row>
    <row r="15" spans="1:30" s="7" customFormat="1" ht="32.25" customHeight="1">
      <c r="A15" s="602" t="s">
        <v>147</v>
      </c>
      <c r="B15" s="1593" t="s">
        <v>203</v>
      </c>
      <c r="C15" s="1594"/>
      <c r="D15" s="603" t="s">
        <v>149</v>
      </c>
      <c r="E15" s="604" t="s">
        <v>23</v>
      </c>
      <c r="F15" s="627"/>
      <c r="G15" s="628"/>
      <c r="H15" s="1200">
        <f>H16+H19+H23+H26+H29</f>
        <v>31676855.420000002</v>
      </c>
      <c r="I15" s="1201">
        <f>I16+I19+I23+I26+I29</f>
        <v>26306827.199999999</v>
      </c>
      <c r="J15" s="1202">
        <f>J16+J19+J23+J26+J29</f>
        <v>26306827.199999999</v>
      </c>
      <c r="AA15" s="1086"/>
      <c r="AB15" s="1086"/>
      <c r="AC15" s="1086"/>
      <c r="AD15" s="1086"/>
    </row>
    <row r="16" spans="1:30" s="7" customFormat="1" ht="48" customHeight="1">
      <c r="A16" s="607" t="s">
        <v>150</v>
      </c>
      <c r="B16" s="1589" t="s">
        <v>196</v>
      </c>
      <c r="C16" s="1590"/>
      <c r="D16" s="600" t="s">
        <v>151</v>
      </c>
      <c r="E16" s="601" t="s">
        <v>23</v>
      </c>
      <c r="F16" s="608"/>
      <c r="G16" s="609"/>
      <c r="H16" s="610">
        <f>SUM(H17:H18)</f>
        <v>25328363.280000001</v>
      </c>
      <c r="I16" s="611">
        <f>SUM(I17:I18)</f>
        <v>25395493</v>
      </c>
      <c r="J16" s="609">
        <f>SUM(J17:J18)</f>
        <v>25395493</v>
      </c>
      <c r="AA16" s="1088"/>
      <c r="AB16" s="1088"/>
      <c r="AC16" s="1088"/>
      <c r="AD16" s="1088"/>
    </row>
    <row r="17" spans="1:30" s="7" customFormat="1" ht="32.25" customHeight="1">
      <c r="A17" s="26" t="s">
        <v>152</v>
      </c>
      <c r="B17" s="1591" t="s">
        <v>153</v>
      </c>
      <c r="C17" s="1592"/>
      <c r="D17" s="46" t="s">
        <v>154</v>
      </c>
      <c r="E17" s="69" t="s">
        <v>23</v>
      </c>
      <c r="F17" s="80"/>
      <c r="G17" s="82"/>
      <c r="H17" s="588">
        <f>SUMIFS(Титульный!O69:O292,Титульный!K69:K292,'3-1'!AA17,Титульный!L69:L292,'3-1'!AB17)
+SUMIFS(Титульный!O69:O292,Титульный!K69:K292,'3-1'!AA17,Титульный!L69:L292,'3-1'!AC17)
+SUMIFS(Титульный!O69:O292,Титульный!K69:K292,'3-1'!AA17,Титульный!L69:L292,'3-1'!AD17)
-Титульный!O19</f>
        <v>25328363.280000001</v>
      </c>
      <c r="I17" s="81">
        <f>SUMIFS(Титульный!P69:P292,Титульный!K69:K292,'3-1'!AA17,Титульный!L69:L292,'3-1'!AB17)
+SUMIFS(Титульный!P69:P292,Титульный!K69:K292,'3-1'!AA17,Титульный!L69:L292,'3-1'!AC17)
+SUMIFS(Титульный!P69:P292,Титульный!K69:K292,'3-1'!AA17,Титульный!L69:L292,'3-1'!AD17)
-Титульный!P19</f>
        <v>25395493</v>
      </c>
      <c r="J17" s="82">
        <f>SUMIFS(Титульный!Q69:Q292,Титульный!K69:K292,'3-1'!AA17,Титульный!L69:L292,'3-1'!AB17)
+SUMIFS(Титульный!Q69:Q292,Титульный!K69:K292,'3-1'!AA17,Титульный!L69:L292,'3-1'!AC17)
+SUMIFS(Титульный!Q69:Q292,Титульный!K69:K292,'3-1'!AA17,Титульный!L69:L292,'3-1'!AD17)
-Титульный!Q19</f>
        <v>25395493</v>
      </c>
      <c r="O17" s="7" t="s">
        <v>1014</v>
      </c>
      <c r="AA17" s="1087">
        <v>4</v>
      </c>
      <c r="AB17" s="1087">
        <v>244</v>
      </c>
      <c r="AC17" s="1087">
        <v>245</v>
      </c>
      <c r="AD17" s="1087">
        <v>247</v>
      </c>
    </row>
    <row r="18" spans="1:30" s="7" customFormat="1" ht="32.25" customHeight="1">
      <c r="A18" s="26" t="s">
        <v>155</v>
      </c>
      <c r="B18" s="1591" t="s">
        <v>199</v>
      </c>
      <c r="C18" s="1592"/>
      <c r="D18" s="46" t="s">
        <v>156</v>
      </c>
      <c r="E18" s="69" t="s">
        <v>23</v>
      </c>
      <c r="F18" s="80"/>
      <c r="G18" s="82"/>
      <c r="H18" s="588"/>
      <c r="I18" s="81"/>
      <c r="J18" s="82"/>
      <c r="O18" s="7" t="s">
        <v>1015</v>
      </c>
      <c r="AA18" s="1087"/>
      <c r="AB18" s="1087"/>
      <c r="AC18" s="1087"/>
      <c r="AD18" s="1087"/>
    </row>
    <row r="19" spans="1:30" s="7" customFormat="1" ht="32.25" customHeight="1">
      <c r="A19" s="607" t="s">
        <v>157</v>
      </c>
      <c r="B19" s="1589" t="s">
        <v>158</v>
      </c>
      <c r="C19" s="1590"/>
      <c r="D19" s="600" t="s">
        <v>159</v>
      </c>
      <c r="E19" s="601" t="s">
        <v>23</v>
      </c>
      <c r="F19" s="608"/>
      <c r="G19" s="609"/>
      <c r="H19" s="610">
        <f>SUM(H20:H22)</f>
        <v>2885885.6</v>
      </c>
      <c r="I19" s="611">
        <f>SUM(I20:I22)</f>
        <v>211334.2</v>
      </c>
      <c r="J19" s="609">
        <f>SUM(J20:J22)</f>
        <v>211334.2</v>
      </c>
      <c r="AA19" s="1088"/>
      <c r="AB19" s="1088"/>
      <c r="AC19" s="1088"/>
      <c r="AD19" s="1088"/>
    </row>
    <row r="20" spans="1:30" s="7" customFormat="1" ht="32.25" customHeight="1">
      <c r="A20" s="26" t="s">
        <v>160</v>
      </c>
      <c r="B20" s="1591" t="s">
        <v>153</v>
      </c>
      <c r="C20" s="1592"/>
      <c r="D20" s="46" t="s">
        <v>161</v>
      </c>
      <c r="E20" s="69" t="s">
        <v>23</v>
      </c>
      <c r="F20" s="80"/>
      <c r="G20" s="82"/>
      <c r="H20" s="588">
        <f>SUMIFS(Титульный!O69:O292,Титульный!K69:K292,'3-1'!AA20,Титульный!L69:L292,'3-1'!AB20)
+SUMIFS(Титульный!O69:O292,Титульный!K69:K292,'3-1'!AA20,Титульный!L69:L292,'3-1'!AC20)
+SUMIFS(Титульный!O69:O292,Титульный!K69:K292,'3-1'!AA20,Титульный!L69:L292,'3-1'!AD20)
-Титульный!O20</f>
        <v>2885885.6</v>
      </c>
      <c r="I20" s="588">
        <f>SUMIFS(Титульный!P69:P292,Титульный!K69:K292,'3-1'!AA20,Титульный!L69:L292,'3-1'!AB20)
+SUMIFS(Титульный!P72:P295,Титульный!K72:K295,'3-1'!AA20,Титульный!L72:L295,'3-1'!AC20)
+SUMIFS(Титульный!P72:P295,Титульный!K72:K295,'3-1'!AA20,Титульный!L72:L295,'3-1'!AD20)
-Титульный!P20</f>
        <v>211334.2</v>
      </c>
      <c r="J20" s="588">
        <f>SUMIFS(Титульный!Q69:Q292,Титульный!K69:K292,'3-1'!AA20,Титульный!L69:L292,'3-1'!AB20)
+SUMIFS(Титульный!Q72:Q295,Титульный!K72:K295,'3-1'!AA20,Титульный!L72:L295,'3-1'!AC20)
+SUMIFS(Титульный!Q72:Q295,Титульный!K72:K295,'3-1'!AA20,Титульный!L72:L295,'3-1'!AD20)
-Титульный!Q20</f>
        <v>211334.2</v>
      </c>
      <c r="K20" s="7" t="s">
        <v>1023</v>
      </c>
      <c r="O20" s="7" t="s">
        <v>384</v>
      </c>
      <c r="AA20" s="1087">
        <v>5</v>
      </c>
      <c r="AB20" s="1087">
        <v>244</v>
      </c>
      <c r="AC20" s="1087">
        <v>245</v>
      </c>
      <c r="AD20" s="1087">
        <v>247</v>
      </c>
    </row>
    <row r="21" spans="1:30" s="7" customFormat="1" ht="32.25" customHeight="1">
      <c r="A21" s="26"/>
      <c r="B21" s="641" t="s">
        <v>805</v>
      </c>
      <c r="C21" s="642"/>
      <c r="D21" s="669" t="s">
        <v>835</v>
      </c>
      <c r="E21" s="69" t="s">
        <v>23</v>
      </c>
      <c r="F21" s="80"/>
      <c r="G21" s="82"/>
      <c r="H21" s="588"/>
      <c r="I21" s="81"/>
      <c r="J21" s="82"/>
      <c r="AA21" s="1087"/>
      <c r="AB21" s="1087"/>
      <c r="AC21" s="1087"/>
      <c r="AD21" s="1087"/>
    </row>
    <row r="22" spans="1:30" s="7" customFormat="1" ht="32.25" customHeight="1">
      <c r="A22" s="26" t="s">
        <v>162</v>
      </c>
      <c r="B22" s="1591" t="s">
        <v>199</v>
      </c>
      <c r="C22" s="1592"/>
      <c r="D22" s="46" t="s">
        <v>163</v>
      </c>
      <c r="E22" s="69" t="s">
        <v>23</v>
      </c>
      <c r="F22" s="80"/>
      <c r="G22" s="82"/>
      <c r="H22" s="588"/>
      <c r="I22" s="81"/>
      <c r="J22" s="82"/>
      <c r="O22" s="7" t="s">
        <v>374</v>
      </c>
      <c r="AA22" s="1087"/>
      <c r="AB22" s="1087"/>
      <c r="AC22" s="1087"/>
      <c r="AD22" s="1087"/>
    </row>
    <row r="23" spans="1:30" s="7" customFormat="1" ht="32.25" customHeight="1">
      <c r="A23" s="607" t="s">
        <v>164</v>
      </c>
      <c r="B23" s="1589" t="s">
        <v>204</v>
      </c>
      <c r="C23" s="1590"/>
      <c r="D23" s="600" t="s">
        <v>165</v>
      </c>
      <c r="E23" s="601" t="s">
        <v>23</v>
      </c>
      <c r="F23" s="608"/>
      <c r="G23" s="609"/>
      <c r="H23" s="610">
        <f>SUM(H24:H25)</f>
        <v>0</v>
      </c>
      <c r="I23" s="611">
        <f>SUM(I24:I25)</f>
        <v>0</v>
      </c>
      <c r="J23" s="609">
        <f>SUM(J24:J25)</f>
        <v>0</v>
      </c>
      <c r="AA23" s="1088"/>
      <c r="AB23" s="1088"/>
      <c r="AC23" s="1088"/>
      <c r="AD23" s="1088"/>
    </row>
    <row r="24" spans="1:30" s="7" customFormat="1" ht="32.25" customHeight="1">
      <c r="A24" s="587"/>
      <c r="B24" s="641" t="s">
        <v>805</v>
      </c>
      <c r="C24" s="642"/>
      <c r="D24" s="669" t="s">
        <v>811</v>
      </c>
      <c r="E24" s="69" t="s">
        <v>23</v>
      </c>
      <c r="F24" s="80"/>
      <c r="G24" s="82"/>
      <c r="H24" s="588"/>
      <c r="I24" s="81"/>
      <c r="J24" s="82"/>
      <c r="AA24" s="1087"/>
      <c r="AB24" s="1087"/>
      <c r="AC24" s="1087"/>
      <c r="AD24" s="1087"/>
    </row>
    <row r="25" spans="1:30" s="7" customFormat="1" ht="32.25" customHeight="1">
      <c r="A25" s="587"/>
      <c r="B25" s="641" t="s">
        <v>807</v>
      </c>
      <c r="C25" s="642"/>
      <c r="D25" s="669" t="s">
        <v>812</v>
      </c>
      <c r="E25" s="69"/>
      <c r="F25" s="80"/>
      <c r="G25" s="82"/>
      <c r="H25" s="588"/>
      <c r="I25" s="81"/>
      <c r="J25" s="82"/>
      <c r="AA25" s="1087"/>
      <c r="AB25" s="1087"/>
      <c r="AC25" s="1087"/>
      <c r="AD25" s="1087"/>
    </row>
    <row r="26" spans="1:30" s="7" customFormat="1" ht="32.25" customHeight="1">
      <c r="A26" s="607" t="s">
        <v>166</v>
      </c>
      <c r="B26" s="1589" t="s">
        <v>167</v>
      </c>
      <c r="C26" s="1590"/>
      <c r="D26" s="600" t="s">
        <v>168</v>
      </c>
      <c r="E26" s="601" t="s">
        <v>23</v>
      </c>
      <c r="F26" s="608"/>
      <c r="G26" s="609"/>
      <c r="H26" s="610">
        <f>SUM(H27:H28)</f>
        <v>0</v>
      </c>
      <c r="I26" s="611">
        <f>SUM(I27:I28)</f>
        <v>0</v>
      </c>
      <c r="J26" s="609">
        <f>SUM(J27:J28)</f>
        <v>0</v>
      </c>
      <c r="AA26" s="1088"/>
      <c r="AB26" s="1088"/>
      <c r="AC26" s="1088"/>
      <c r="AD26" s="1088"/>
    </row>
    <row r="27" spans="1:30" s="7" customFormat="1" ht="32.25" customHeight="1">
      <c r="A27" s="26" t="s">
        <v>169</v>
      </c>
      <c r="B27" s="1591" t="s">
        <v>153</v>
      </c>
      <c r="C27" s="1592"/>
      <c r="D27" s="46" t="s">
        <v>170</v>
      </c>
      <c r="E27" s="69" t="s">
        <v>23</v>
      </c>
      <c r="F27" s="80"/>
      <c r="G27" s="82"/>
      <c r="H27" s="588"/>
      <c r="I27" s="81"/>
      <c r="J27" s="82"/>
      <c r="AA27" s="1087"/>
      <c r="AB27" s="1087"/>
      <c r="AC27" s="1087"/>
      <c r="AD27" s="1087"/>
    </row>
    <row r="28" spans="1:30" s="7" customFormat="1" ht="32.25" customHeight="1">
      <c r="A28" s="26" t="s">
        <v>171</v>
      </c>
      <c r="B28" s="1591" t="s">
        <v>199</v>
      </c>
      <c r="C28" s="1592"/>
      <c r="D28" s="46" t="s">
        <v>172</v>
      </c>
      <c r="E28" s="69" t="s">
        <v>23</v>
      </c>
      <c r="F28" s="80"/>
      <c r="G28" s="82"/>
      <c r="H28" s="588"/>
      <c r="I28" s="81"/>
      <c r="J28" s="82"/>
      <c r="AA28" s="1087"/>
      <c r="AB28" s="1087"/>
      <c r="AC28" s="1087"/>
      <c r="AD28" s="1087"/>
    </row>
    <row r="29" spans="1:30" s="7" customFormat="1" ht="32.25" customHeight="1">
      <c r="A29" s="607" t="s">
        <v>173</v>
      </c>
      <c r="B29" s="1589" t="s">
        <v>174</v>
      </c>
      <c r="C29" s="1590"/>
      <c r="D29" s="600" t="s">
        <v>175</v>
      </c>
      <c r="E29" s="601" t="s">
        <v>23</v>
      </c>
      <c r="F29" s="608"/>
      <c r="G29" s="609"/>
      <c r="H29" s="610">
        <f>H30+H33</f>
        <v>3462606.54</v>
      </c>
      <c r="I29" s="611">
        <f>I30+I33</f>
        <v>700000</v>
      </c>
      <c r="J29" s="609">
        <f>J30+J33</f>
        <v>700000</v>
      </c>
      <c r="AA29" s="1088"/>
      <c r="AB29" s="1088"/>
      <c r="AC29" s="1088"/>
      <c r="AD29" s="1088"/>
    </row>
    <row r="30" spans="1:30" s="7" customFormat="1" ht="32.25" customHeight="1">
      <c r="A30" s="26" t="s">
        <v>176</v>
      </c>
      <c r="B30" s="1591" t="s">
        <v>153</v>
      </c>
      <c r="C30" s="1592"/>
      <c r="D30" s="46" t="s">
        <v>177</v>
      </c>
      <c r="E30" s="69" t="s">
        <v>23</v>
      </c>
      <c r="F30" s="80"/>
      <c r="G30" s="82"/>
      <c r="H30" s="588">
        <f>SUMIFS(Титульный!O69:O292,Титульный!K69:K292,'3-1'!AA30,Титульный!L69:L292,'3-1'!AB30)-H33
+SUMIFS(Титульный!O69:O292,Титульный!K69:K292,'3-1'!AA30,Титульный!L69:L292,'3-1'!AC30)
+SUMIFS(Титульный!O69:O292,Титульный!K69:K292,'3-1'!AA30,Титульный!L69:L292,'3-1'!AD30)
-Титульный!O18</f>
        <v>3462606.54</v>
      </c>
      <c r="I30" s="588">
        <f>SUMIFS(Титульный!P69:P292,Титульный!K69:K292,'3-1'!AA30,Титульный!L69:L292,'3-1'!AB30)
+SUMIFS(Титульный!P82:P305,Титульный!K82:K305,'3-1'!AA30,Титульный!L82:L305,'3-1'!AC30)
+SUMIFS(Титульный!P82:P305,Титульный!K82:K305,'3-1'!AA30,Титульный!L82:L305,'3-1'!AD30)
-Титульный!P18</f>
        <v>700000</v>
      </c>
      <c r="J30" s="588">
        <f>SUMIFS(Титульный!Q69:Q292,Титульный!K69:K292,'3-1'!AA30,Титульный!L69:L292,'3-1'!AB30)
+SUMIFS(Титульный!Q82:Q305,Титульный!K82:K305,'3-1'!AA30,Титульный!L82:L305,'3-1'!AC30)
+SUMIFS(Титульный!Q82:Q305,Титульный!K82:K305,'3-1'!AA30,Титульный!L82:L305,'3-1'!AD30)
-Титульный!Q18</f>
        <v>700000</v>
      </c>
      <c r="O30" s="7" t="s">
        <v>824</v>
      </c>
      <c r="AA30" s="1087">
        <v>2</v>
      </c>
      <c r="AB30" s="1087">
        <v>244</v>
      </c>
      <c r="AC30" s="1087">
        <v>245</v>
      </c>
      <c r="AD30" s="1087">
        <v>247</v>
      </c>
    </row>
    <row r="31" spans="1:30" s="7" customFormat="1" ht="32.25" customHeight="1">
      <c r="A31" s="587"/>
      <c r="B31" s="641" t="s">
        <v>805</v>
      </c>
      <c r="C31" s="642"/>
      <c r="D31" s="669" t="s">
        <v>813</v>
      </c>
      <c r="E31" s="69" t="s">
        <v>23</v>
      </c>
      <c r="F31" s="80"/>
      <c r="G31" s="82"/>
      <c r="H31" s="588"/>
      <c r="I31" s="81"/>
      <c r="J31" s="82"/>
      <c r="AA31" s="1087"/>
      <c r="AB31" s="1087"/>
      <c r="AC31" s="1087"/>
      <c r="AD31" s="1087"/>
    </row>
    <row r="32" spans="1:30" s="7" customFormat="1" ht="32.25" customHeight="1">
      <c r="A32" s="587"/>
      <c r="B32" s="641" t="s">
        <v>807</v>
      </c>
      <c r="C32" s="642"/>
      <c r="D32" s="669" t="s">
        <v>814</v>
      </c>
      <c r="E32" s="69"/>
      <c r="F32" s="80"/>
      <c r="G32" s="82"/>
      <c r="H32" s="588"/>
      <c r="I32" s="81"/>
      <c r="J32" s="82"/>
      <c r="AA32" s="1087"/>
      <c r="AB32" s="1087"/>
      <c r="AC32" s="1087"/>
      <c r="AD32" s="1087"/>
    </row>
    <row r="33" spans="1:30" s="400" customFormat="1" ht="32.25" customHeight="1" thickBot="1">
      <c r="A33" s="580" t="s">
        <v>178</v>
      </c>
      <c r="B33" s="1564" t="s">
        <v>179</v>
      </c>
      <c r="C33" s="1565"/>
      <c r="D33" s="581" t="s">
        <v>180</v>
      </c>
      <c r="E33" s="582" t="s">
        <v>23</v>
      </c>
      <c r="F33" s="591"/>
      <c r="G33" s="592"/>
      <c r="H33" s="593">
        <f>Титульный!K19</f>
        <v>0</v>
      </c>
      <c r="I33" s="593">
        <f>Титульный!L19</f>
        <v>0</v>
      </c>
      <c r="J33" s="593">
        <f>Титульный!M19</f>
        <v>0</v>
      </c>
      <c r="O33" s="400" t="s">
        <v>825</v>
      </c>
      <c r="AA33" s="1087"/>
      <c r="AB33" s="1087"/>
      <c r="AC33" s="1087"/>
      <c r="AD33" s="1087"/>
    </row>
    <row r="34" spans="1:30" s="7" customFormat="1" ht="32.25" customHeight="1" thickTop="1">
      <c r="A34" s="613" t="s">
        <v>7</v>
      </c>
      <c r="B34" s="1574" t="s">
        <v>205</v>
      </c>
      <c r="C34" s="1575"/>
      <c r="D34" s="614" t="s">
        <v>181</v>
      </c>
      <c r="E34" s="615" t="s">
        <v>23</v>
      </c>
      <c r="F34" s="616"/>
      <c r="G34" s="617"/>
      <c r="H34" s="618">
        <f>H17+H20+H27+H30</f>
        <v>31676855.420000002</v>
      </c>
      <c r="I34" s="619">
        <f>I17+I20+I27+I30</f>
        <v>26306827.199999999</v>
      </c>
      <c r="J34" s="617">
        <f>J17+J20+J27+J30</f>
        <v>26306827.199999999</v>
      </c>
      <c r="AA34" s="1089"/>
      <c r="AB34" s="1089"/>
      <c r="AC34" s="1089"/>
      <c r="AD34" s="1089"/>
    </row>
    <row r="35" spans="1:30" s="7" customFormat="1" ht="20.45" customHeight="1">
      <c r="A35" s="587"/>
      <c r="B35" s="1576" t="s">
        <v>182</v>
      </c>
      <c r="C35" s="1577"/>
      <c r="D35" s="1570" t="s">
        <v>183</v>
      </c>
      <c r="E35" s="1572"/>
      <c r="F35" s="80"/>
      <c r="G35" s="82"/>
      <c r="H35" s="588">
        <f>H31+H22+H18</f>
        <v>0</v>
      </c>
      <c r="I35" s="81"/>
      <c r="J35" s="82"/>
      <c r="AA35" s="1087"/>
      <c r="AB35" s="1087"/>
      <c r="AC35" s="1087"/>
      <c r="AD35" s="1087"/>
    </row>
    <row r="36" spans="1:30" s="7" customFormat="1" ht="20.45" customHeight="1">
      <c r="A36" s="580"/>
      <c r="B36" s="589" t="s">
        <v>887</v>
      </c>
      <c r="C36" s="590"/>
      <c r="D36" s="1571"/>
      <c r="E36" s="1573"/>
      <c r="F36" s="591"/>
      <c r="G36" s="592"/>
      <c r="H36" s="593">
        <f>H34</f>
        <v>31676855.420000002</v>
      </c>
      <c r="I36" s="594"/>
      <c r="J36" s="82"/>
      <c r="AA36" s="1087"/>
      <c r="AB36" s="1087"/>
      <c r="AC36" s="1087"/>
      <c r="AD36" s="1087"/>
    </row>
    <row r="37" spans="1:30" s="7" customFormat="1" ht="20.45" customHeight="1">
      <c r="A37" s="580"/>
      <c r="B37" s="589" t="s">
        <v>1079</v>
      </c>
      <c r="C37" s="590"/>
      <c r="D37" s="1571"/>
      <c r="E37" s="1573"/>
      <c r="F37" s="80"/>
      <c r="G37" s="82"/>
      <c r="H37" s="595"/>
      <c r="I37" s="596">
        <f>I34-I36</f>
        <v>26306827.199999999</v>
      </c>
      <c r="J37" s="82"/>
      <c r="AA37" s="1087"/>
      <c r="AB37" s="1087"/>
      <c r="AC37" s="1087"/>
      <c r="AD37" s="1087"/>
    </row>
    <row r="38" spans="1:30" s="7" customFormat="1" ht="20.45" customHeight="1" thickBot="1">
      <c r="A38" s="580"/>
      <c r="B38" s="1564" t="s">
        <v>1126</v>
      </c>
      <c r="C38" s="1565"/>
      <c r="D38" s="1571"/>
      <c r="E38" s="1573"/>
      <c r="F38" s="591"/>
      <c r="G38" s="592"/>
      <c r="H38" s="612"/>
      <c r="I38" s="596"/>
      <c r="J38" s="598">
        <f>J34-J37</f>
        <v>26306827.199999999</v>
      </c>
      <c r="AA38" s="1087"/>
      <c r="AB38" s="1087"/>
      <c r="AC38" s="1087"/>
      <c r="AD38" s="1087"/>
    </row>
    <row r="39" spans="1:30" s="7" customFormat="1" ht="32.25" customHeight="1" thickTop="1">
      <c r="A39" s="613" t="s">
        <v>8</v>
      </c>
      <c r="B39" s="1574" t="s">
        <v>184</v>
      </c>
      <c r="C39" s="1575"/>
      <c r="D39" s="614" t="s">
        <v>185</v>
      </c>
      <c r="E39" s="615" t="s">
        <v>23</v>
      </c>
      <c r="F39" s="616"/>
      <c r="G39" s="617"/>
      <c r="H39" s="618">
        <f>H18+H22+H28+H33</f>
        <v>0</v>
      </c>
      <c r="I39" s="619">
        <f>I18+I22+I28+I33</f>
        <v>0</v>
      </c>
      <c r="J39" s="617">
        <f>J18+J22+J28+J33</f>
        <v>0</v>
      </c>
      <c r="AA39" s="1089"/>
      <c r="AB39" s="1089"/>
      <c r="AC39" s="1089"/>
      <c r="AD39" s="1089"/>
    </row>
    <row r="40" spans="1:30" s="7" customFormat="1" ht="20.45" customHeight="1">
      <c r="A40" s="587"/>
      <c r="B40" s="1576" t="s">
        <v>182</v>
      </c>
      <c r="C40" s="1577"/>
      <c r="D40" s="1570" t="s">
        <v>186</v>
      </c>
      <c r="E40" s="1572"/>
      <c r="F40" s="80"/>
      <c r="G40" s="82"/>
      <c r="H40" s="588"/>
      <c r="I40" s="81"/>
      <c r="J40" s="82"/>
      <c r="AA40" s="1087"/>
      <c r="AB40" s="1087"/>
      <c r="AC40" s="1087"/>
      <c r="AD40" s="1087"/>
    </row>
    <row r="41" spans="1:30" s="400" customFormat="1" ht="20.45" customHeight="1">
      <c r="A41" s="580"/>
      <c r="B41" s="1408" t="s">
        <v>887</v>
      </c>
      <c r="C41" s="1409"/>
      <c r="D41" s="1571"/>
      <c r="E41" s="1573"/>
      <c r="F41" s="591"/>
      <c r="G41" s="592"/>
      <c r="H41" s="593">
        <f>H39</f>
        <v>0</v>
      </c>
      <c r="I41" s="81"/>
      <c r="J41" s="81"/>
      <c r="AA41" s="1087"/>
      <c r="AB41" s="1087"/>
      <c r="AC41" s="1087"/>
      <c r="AD41" s="1087"/>
    </row>
    <row r="42" spans="1:30" s="7" customFormat="1" ht="20.45" customHeight="1">
      <c r="A42" s="580"/>
      <c r="B42" s="1408" t="s">
        <v>1079</v>
      </c>
      <c r="C42" s="1409"/>
      <c r="D42" s="1571"/>
      <c r="E42" s="1573"/>
      <c r="F42" s="80"/>
      <c r="G42" s="82"/>
      <c r="H42" s="588"/>
      <c r="I42" s="596">
        <f>I39-I41</f>
        <v>0</v>
      </c>
      <c r="J42" s="599"/>
      <c r="AA42" s="1087"/>
      <c r="AB42" s="1087"/>
      <c r="AC42" s="1087"/>
      <c r="AD42" s="1087"/>
    </row>
    <row r="43" spans="1:30" s="7" customFormat="1" ht="20.45" customHeight="1">
      <c r="A43" s="597"/>
      <c r="B43" s="1564" t="s">
        <v>1126</v>
      </c>
      <c r="C43" s="1565"/>
      <c r="D43" s="1578"/>
      <c r="E43" s="1579"/>
      <c r="F43" s="583"/>
      <c r="G43" s="584"/>
      <c r="H43" s="585"/>
      <c r="I43" s="586"/>
      <c r="J43" s="584">
        <f>J39-J42</f>
        <v>0</v>
      </c>
      <c r="AA43" s="1087"/>
      <c r="AB43" s="1087"/>
      <c r="AC43" s="1087"/>
      <c r="AD43" s="1087"/>
    </row>
    <row r="44" spans="1:30" s="21" customFormat="1" ht="15.75" hidden="1">
      <c r="B44" s="25"/>
      <c r="C44" s="25"/>
      <c r="D44" s="22"/>
      <c r="E44" s="22"/>
      <c r="F44" s="22"/>
      <c r="G44" s="22"/>
      <c r="H44" s="23"/>
    </row>
    <row r="45" spans="1:30" ht="15.75" hidden="1">
      <c r="B45" s="2" t="s">
        <v>187</v>
      </c>
      <c r="C45" s="115" t="s">
        <v>409</v>
      </c>
      <c r="D45" s="1607"/>
      <c r="E45" s="1608"/>
      <c r="F45" s="115"/>
      <c r="G45" s="115"/>
      <c r="H45" s="1609" t="e">
        <f>Титульный!#REF!</f>
        <v>#REF!</v>
      </c>
      <c r="I45" s="1610"/>
      <c r="J45" s="1611"/>
      <c r="AA45" s="422"/>
      <c r="AB45" s="422"/>
      <c r="AC45" s="422"/>
      <c r="AD45" s="422"/>
    </row>
    <row r="46" spans="1:30" ht="15.75" hidden="1">
      <c r="B46" s="2" t="s">
        <v>188</v>
      </c>
      <c r="C46" s="109" t="s">
        <v>189</v>
      </c>
      <c r="D46" s="1612" t="s">
        <v>12</v>
      </c>
      <c r="E46" s="1612"/>
      <c r="F46" s="407"/>
      <c r="G46" s="407"/>
      <c r="H46" s="1613" t="s">
        <v>13</v>
      </c>
      <c r="I46" s="1613"/>
      <c r="J46" s="1613"/>
      <c r="AA46" s="1072"/>
      <c r="AB46" s="1072"/>
      <c r="AC46" s="1072"/>
      <c r="AD46" s="1072"/>
    </row>
    <row r="47" spans="1:30" ht="15.75" hidden="1">
      <c r="B47" s="2"/>
      <c r="C47" s="35"/>
      <c r="D47" s="35"/>
      <c r="E47" s="108"/>
      <c r="F47" s="406"/>
      <c r="G47" s="406"/>
      <c r="H47" s="108"/>
      <c r="I47" s="108"/>
      <c r="J47" s="108"/>
      <c r="AA47" s="1071"/>
      <c r="AB47" s="1071"/>
      <c r="AC47" s="1071"/>
      <c r="AD47" s="1071"/>
    </row>
    <row r="48" spans="1:30" ht="15" hidden="1" customHeight="1">
      <c r="B48" s="2" t="s">
        <v>190</v>
      </c>
      <c r="C48" s="114" t="s">
        <v>410</v>
      </c>
      <c r="D48" s="1614" t="e">
        <f>Титульный!#REF!</f>
        <v>#REF!</v>
      </c>
      <c r="E48" s="1615"/>
      <c r="F48" s="1616"/>
      <c r="G48" s="1616"/>
      <c r="H48" s="1616"/>
      <c r="I48" s="1617" t="s">
        <v>411</v>
      </c>
      <c r="J48" s="1618"/>
      <c r="AA48" s="1072"/>
      <c r="AB48" s="1072"/>
      <c r="AC48" s="1072"/>
      <c r="AD48" s="1072"/>
    </row>
    <row r="49" spans="1:30" ht="15.75" hidden="1">
      <c r="B49" s="1"/>
      <c r="C49" s="59" t="s">
        <v>189</v>
      </c>
      <c r="D49" s="1612" t="s">
        <v>191</v>
      </c>
      <c r="E49" s="1612"/>
      <c r="F49" s="1612"/>
      <c r="G49" s="1612"/>
      <c r="H49" s="1612"/>
      <c r="I49" s="1613" t="s">
        <v>192</v>
      </c>
      <c r="J49" s="1613"/>
      <c r="AA49" s="1072"/>
      <c r="AB49" s="1072"/>
      <c r="AC49" s="1072"/>
      <c r="AD49" s="1072"/>
    </row>
    <row r="50" spans="1:30" hidden="1">
      <c r="B50" s="1"/>
      <c r="C50" s="1"/>
      <c r="D50" s="1"/>
    </row>
    <row r="51" spans="1:30" s="13" customFormat="1" ht="15.75" hidden="1">
      <c r="A51" s="42" t="s">
        <v>193</v>
      </c>
      <c r="B51" s="36"/>
      <c r="C51" s="36"/>
      <c r="D51" s="36"/>
      <c r="E51" s="37"/>
      <c r="F51" s="24"/>
      <c r="G51" s="24"/>
    </row>
    <row r="52" spans="1:30" s="13" customFormat="1" ht="15.75" hidden="1">
      <c r="A52" s="1619" t="s">
        <v>213</v>
      </c>
      <c r="B52" s="1620"/>
      <c r="C52" s="1620"/>
      <c r="D52" s="1620"/>
      <c r="E52" s="1621"/>
      <c r="F52" s="422"/>
      <c r="G52" s="422"/>
    </row>
    <row r="53" spans="1:30" s="13" customFormat="1" ht="15.75" hidden="1">
      <c r="A53" s="1622" t="s">
        <v>197</v>
      </c>
      <c r="B53" s="1623"/>
      <c r="C53" s="1623"/>
      <c r="D53" s="1623"/>
      <c r="E53" s="1624"/>
      <c r="F53" s="422"/>
      <c r="G53" s="422"/>
    </row>
    <row r="54" spans="1:30" s="13" customFormat="1" ht="12.75" hidden="1" customHeight="1">
      <c r="A54" s="38"/>
      <c r="B54" s="24"/>
      <c r="C54" s="24"/>
      <c r="D54" s="24"/>
      <c r="E54" s="39"/>
      <c r="F54" s="24"/>
      <c r="G54" s="24"/>
    </row>
    <row r="55" spans="1:30" s="13" customFormat="1" ht="38.25" hidden="1" customHeight="1">
      <c r="A55" s="1619"/>
      <c r="B55" s="1620"/>
      <c r="C55" s="1620" t="s">
        <v>212</v>
      </c>
      <c r="D55" s="1620"/>
      <c r="E55" s="1621"/>
      <c r="F55" s="422"/>
      <c r="G55" s="422"/>
    </row>
    <row r="56" spans="1:30" s="13" customFormat="1" ht="19.899999999999999" hidden="1" customHeight="1">
      <c r="A56" s="1625" t="s">
        <v>12</v>
      </c>
      <c r="B56" s="1613"/>
      <c r="C56" s="1613" t="s">
        <v>13</v>
      </c>
      <c r="D56" s="1613"/>
      <c r="E56" s="1626"/>
      <c r="F56" s="414"/>
      <c r="G56" s="414"/>
    </row>
    <row r="57" spans="1:30" s="13" customFormat="1" ht="33" hidden="1" customHeight="1">
      <c r="A57" s="38"/>
      <c r="B57" s="24"/>
      <c r="C57" s="24"/>
      <c r="D57" s="24"/>
      <c r="E57" s="39"/>
      <c r="F57" s="24"/>
      <c r="G57" s="24"/>
    </row>
    <row r="58" spans="1:30" s="12" customFormat="1" ht="21.75" hidden="1" customHeight="1" thickBot="1">
      <c r="A58" s="1627" t="str">
        <f>'1'!C12</f>
        <v>« _________ »________________________202___ г.</v>
      </c>
      <c r="B58" s="1628"/>
      <c r="C58" s="40"/>
      <c r="D58" s="40"/>
      <c r="E58" s="41"/>
      <c r="F58" s="423"/>
      <c r="G58" s="423"/>
    </row>
    <row r="59" spans="1:30" s="43" customFormat="1" ht="21.75" hidden="1" customHeight="1">
      <c r="A59" s="1567" t="s">
        <v>376</v>
      </c>
      <c r="B59" s="1568"/>
      <c r="C59" s="1568"/>
      <c r="D59" s="1568"/>
      <c r="E59" s="1568"/>
      <c r="F59" s="1568"/>
      <c r="G59" s="1568"/>
      <c r="H59" s="1568"/>
      <c r="I59" s="1568"/>
      <c r="J59" s="1568"/>
      <c r="AA59" s="1074"/>
      <c r="AB59" s="1074"/>
      <c r="AC59" s="1074"/>
      <c r="AD59" s="1074"/>
    </row>
    <row r="60" spans="1:30" s="96" customFormat="1" ht="72.599999999999994" hidden="1" customHeight="1">
      <c r="A60" s="1569" t="s">
        <v>377</v>
      </c>
      <c r="B60" s="1569"/>
      <c r="C60" s="1569"/>
      <c r="D60" s="1569"/>
      <c r="E60" s="1569"/>
      <c r="F60" s="1569"/>
      <c r="G60" s="1569"/>
      <c r="H60" s="1569"/>
      <c r="I60" s="1569"/>
      <c r="J60" s="1569"/>
      <c r="AA60" s="1075"/>
      <c r="AB60" s="1075"/>
      <c r="AC60" s="1075"/>
      <c r="AD60" s="1075"/>
    </row>
    <row r="61" spans="1:30" s="96" customFormat="1" ht="34.9" hidden="1" customHeight="1">
      <c r="A61" s="1569" t="s">
        <v>378</v>
      </c>
      <c r="B61" s="1569"/>
      <c r="C61" s="1569"/>
      <c r="D61" s="1569"/>
      <c r="E61" s="1569"/>
      <c r="F61" s="1569"/>
      <c r="G61" s="1569"/>
      <c r="H61" s="1569"/>
      <c r="I61" s="1569"/>
      <c r="J61" s="1569"/>
      <c r="AA61" s="1075"/>
      <c r="AB61" s="1075"/>
      <c r="AC61" s="1075"/>
      <c r="AD61" s="1075"/>
    </row>
    <row r="62" spans="1:30" s="96" customFormat="1" hidden="1">
      <c r="A62" s="1569" t="s">
        <v>379</v>
      </c>
      <c r="B62" s="1569"/>
      <c r="C62" s="1569"/>
      <c r="D62" s="1569"/>
      <c r="E62" s="1569"/>
      <c r="F62" s="1569"/>
      <c r="G62" s="1569"/>
      <c r="H62" s="1569"/>
      <c r="I62" s="1569"/>
      <c r="J62" s="1569"/>
      <c r="AA62" s="1075"/>
      <c r="AB62" s="1075"/>
      <c r="AC62" s="1075"/>
      <c r="AD62" s="1075"/>
    </row>
    <row r="63" spans="1:30" s="96" customFormat="1" ht="16.149999999999999" hidden="1" customHeight="1">
      <c r="A63" s="1569" t="s">
        <v>380</v>
      </c>
      <c r="B63" s="1569"/>
      <c r="C63" s="1569"/>
      <c r="D63" s="1569"/>
      <c r="E63" s="1569"/>
      <c r="F63" s="1569"/>
      <c r="G63" s="1569"/>
      <c r="H63" s="1569"/>
      <c r="I63" s="1569"/>
      <c r="J63" s="1569"/>
      <c r="AA63" s="1075"/>
      <c r="AB63" s="1075"/>
      <c r="AC63" s="1075"/>
      <c r="AD63" s="1075"/>
    </row>
    <row r="64" spans="1:30" s="96" customFormat="1" ht="13.9" hidden="1" customHeight="1">
      <c r="A64" s="1569" t="s">
        <v>381</v>
      </c>
      <c r="B64" s="1569"/>
      <c r="C64" s="1569"/>
      <c r="D64" s="1569"/>
      <c r="E64" s="1569"/>
      <c r="F64" s="1569"/>
      <c r="G64" s="1569"/>
      <c r="H64" s="1569"/>
      <c r="I64" s="1569"/>
      <c r="J64" s="1569"/>
      <c r="AA64" s="1075"/>
      <c r="AB64" s="1075"/>
      <c r="AC64" s="1075"/>
      <c r="AD64" s="1075"/>
    </row>
    <row r="65" spans="1:30" s="96" customFormat="1" ht="35.450000000000003" hidden="1" customHeight="1">
      <c r="A65" s="1569" t="s">
        <v>382</v>
      </c>
      <c r="B65" s="1569"/>
      <c r="C65" s="1569"/>
      <c r="D65" s="1569"/>
      <c r="E65" s="1569"/>
      <c r="F65" s="1569"/>
      <c r="G65" s="1569"/>
      <c r="H65" s="1569"/>
      <c r="I65" s="1569"/>
      <c r="J65" s="1569"/>
      <c r="AA65" s="1075"/>
      <c r="AB65" s="1075"/>
      <c r="AC65" s="1075"/>
      <c r="AD65" s="1075"/>
    </row>
    <row r="66" spans="1:30" hidden="1">
      <c r="A66" s="1566"/>
      <c r="B66" s="1566"/>
      <c r="C66" s="1566"/>
      <c r="D66" s="1566"/>
      <c r="E66" s="1566"/>
      <c r="F66" s="1566"/>
      <c r="G66" s="1566"/>
      <c r="H66" s="1566"/>
      <c r="I66" s="1566"/>
      <c r="J66" s="1566"/>
      <c r="AA66" s="1073"/>
      <c r="AB66" s="1073"/>
      <c r="AC66" s="1073"/>
      <c r="AD66" s="1073"/>
    </row>
    <row r="67" spans="1:30" hidden="1">
      <c r="A67" s="1566"/>
      <c r="B67" s="1566"/>
      <c r="C67" s="1566"/>
      <c r="D67" s="1566"/>
      <c r="E67" s="1566"/>
      <c r="F67" s="1566"/>
      <c r="G67" s="1566"/>
      <c r="H67" s="1566"/>
      <c r="I67" s="1566"/>
      <c r="J67" s="1566"/>
      <c r="AA67" s="1073"/>
      <c r="AB67" s="1073"/>
      <c r="AC67" s="1073"/>
      <c r="AD67" s="1073"/>
    </row>
    <row r="68" spans="1:30" hidden="1">
      <c r="A68" s="1566"/>
      <c r="B68" s="1566"/>
      <c r="C68" s="1566"/>
      <c r="D68" s="1566"/>
      <c r="E68" s="1566"/>
      <c r="F68" s="1566"/>
      <c r="G68" s="1566"/>
      <c r="H68" s="1566"/>
      <c r="I68" s="1566"/>
      <c r="J68" s="1566"/>
      <c r="AA68" s="1073"/>
      <c r="AB68" s="1073"/>
      <c r="AC68" s="1073"/>
      <c r="AD68" s="1073"/>
    </row>
    <row r="69" spans="1:30" hidden="1">
      <c r="A69" s="1566"/>
      <c r="B69" s="1566"/>
      <c r="C69" s="1566"/>
      <c r="D69" s="1566"/>
      <c r="E69" s="1566"/>
      <c r="F69" s="1566"/>
      <c r="G69" s="1566"/>
      <c r="H69" s="1566"/>
      <c r="I69" s="1566"/>
      <c r="J69" s="1566"/>
      <c r="AA69" s="1073"/>
      <c r="AB69" s="1073"/>
      <c r="AC69" s="1073"/>
      <c r="AD69" s="1073"/>
    </row>
    <row r="70" spans="1:30" hidden="1">
      <c r="A70" s="1566"/>
      <c r="B70" s="1566"/>
      <c r="C70" s="1566"/>
      <c r="D70" s="1566"/>
      <c r="E70" s="1566"/>
      <c r="F70" s="1566"/>
      <c r="G70" s="1566"/>
      <c r="H70" s="1566"/>
      <c r="I70" s="1566"/>
      <c r="J70" s="1566"/>
      <c r="AA70" s="1073"/>
      <c r="AB70" s="1073"/>
      <c r="AC70" s="1073"/>
      <c r="AD70" s="1073"/>
    </row>
    <row r="71" spans="1:30" hidden="1">
      <c r="A71" s="1566"/>
      <c r="B71" s="1566"/>
      <c r="C71" s="1566"/>
      <c r="D71" s="1566"/>
      <c r="E71" s="1566"/>
      <c r="F71" s="1566"/>
      <c r="G71" s="1566"/>
      <c r="H71" s="1566"/>
      <c r="I71" s="1566"/>
      <c r="J71" s="1566"/>
      <c r="AA71" s="1073"/>
      <c r="AB71" s="1073"/>
      <c r="AC71" s="1073"/>
      <c r="AD71" s="1073"/>
    </row>
    <row r="72" spans="1:30" ht="27" customHeight="1">
      <c r="A72" s="1566"/>
      <c r="B72" s="1566"/>
      <c r="C72" s="1566"/>
      <c r="D72" s="1566"/>
      <c r="E72" s="1566"/>
      <c r="F72" s="1566"/>
      <c r="G72" s="1566"/>
      <c r="H72" s="1566"/>
      <c r="I72" s="1566"/>
      <c r="J72" s="1566"/>
      <c r="AA72" s="1073"/>
      <c r="AB72" s="1073"/>
      <c r="AC72" s="1073"/>
      <c r="AD72" s="1073"/>
    </row>
    <row r="121" spans="8:10" ht="15.75">
      <c r="H121" s="625" t="s">
        <v>1027</v>
      </c>
      <c r="I121" s="626" t="s">
        <v>1028</v>
      </c>
      <c r="J121" s="1199" t="s">
        <v>1029</v>
      </c>
    </row>
    <row r="122" spans="8:10" ht="15.75">
      <c r="H122" s="1200"/>
      <c r="I122" s="1201"/>
      <c r="J122" s="629"/>
    </row>
    <row r="123" spans="8:10" ht="15.75">
      <c r="H123" s="1200"/>
      <c r="I123" s="1201"/>
      <c r="J123" s="1202"/>
    </row>
    <row r="124" spans="8:10" ht="78.75">
      <c r="H124" s="1200" t="s">
        <v>1030</v>
      </c>
      <c r="I124" s="1201" t="s">
        <v>1031</v>
      </c>
      <c r="J124" s="1202" t="s">
        <v>1032</v>
      </c>
    </row>
    <row r="125" spans="8:10" ht="78.75">
      <c r="H125" s="588" t="s">
        <v>1033</v>
      </c>
      <c r="I125" s="81" t="s">
        <v>1034</v>
      </c>
      <c r="J125" s="82" t="s">
        <v>1035</v>
      </c>
    </row>
    <row r="126" spans="8:10" ht="15.75">
      <c r="H126" s="588"/>
      <c r="I126" s="81"/>
      <c r="J126" s="82"/>
    </row>
    <row r="127" spans="8:10" ht="15.75">
      <c r="H127" s="588"/>
      <c r="I127" s="81"/>
      <c r="J127" s="82"/>
    </row>
    <row r="128" spans="8:10" ht="15.75">
      <c r="H128" s="593"/>
      <c r="I128" s="596"/>
      <c r="J128" s="592"/>
    </row>
    <row r="129" spans="8:10" ht="47.25">
      <c r="H129" s="1200" t="s">
        <v>1036</v>
      </c>
      <c r="I129" s="1201" t="s">
        <v>1037</v>
      </c>
      <c r="J129" s="1202" t="s">
        <v>1038</v>
      </c>
    </row>
    <row r="130" spans="8:10" ht="31.5">
      <c r="H130" s="610" t="s">
        <v>1039</v>
      </c>
      <c r="I130" s="611" t="s">
        <v>1040</v>
      </c>
      <c r="J130" s="609" t="s">
        <v>1041</v>
      </c>
    </row>
    <row r="131" spans="8:10" ht="409.5">
      <c r="H131" s="588" t="s">
        <v>1042</v>
      </c>
      <c r="I131" s="81" t="s">
        <v>1043</v>
      </c>
      <c r="J131" s="82" t="s">
        <v>1044</v>
      </c>
    </row>
    <row r="132" spans="8:10" ht="15.75">
      <c r="H132" s="588"/>
      <c r="I132" s="81"/>
      <c r="J132" s="82"/>
    </row>
    <row r="133" spans="8:10" ht="31.5">
      <c r="H133" s="610" t="s">
        <v>1045</v>
      </c>
      <c r="I133" s="611" t="s">
        <v>1046</v>
      </c>
      <c r="J133" s="609" t="s">
        <v>1047</v>
      </c>
    </row>
    <row r="134" spans="8:10" ht="409.5">
      <c r="H134" s="588" t="s">
        <v>1048</v>
      </c>
      <c r="I134" s="588" t="s">
        <v>1049</v>
      </c>
      <c r="J134" s="588" t="s">
        <v>1050</v>
      </c>
    </row>
    <row r="135" spans="8:10" ht="15.75">
      <c r="H135" s="588"/>
      <c r="I135" s="81"/>
      <c r="J135" s="82"/>
    </row>
    <row r="136" spans="8:10" ht="15.75">
      <c r="H136" s="588"/>
      <c r="I136" s="81"/>
      <c r="J136" s="82"/>
    </row>
    <row r="137" spans="8:10" ht="31.5">
      <c r="H137" s="610" t="s">
        <v>1051</v>
      </c>
      <c r="I137" s="611" t="s">
        <v>1052</v>
      </c>
      <c r="J137" s="609" t="s">
        <v>1053</v>
      </c>
    </row>
    <row r="138" spans="8:10" ht="15.75">
      <c r="H138" s="588"/>
      <c r="I138" s="81"/>
      <c r="J138" s="82"/>
    </row>
    <row r="139" spans="8:10" ht="15.75">
      <c r="H139" s="588"/>
      <c r="I139" s="81"/>
      <c r="J139" s="82"/>
    </row>
    <row r="140" spans="8:10" ht="31.5">
      <c r="H140" s="610" t="s">
        <v>1054</v>
      </c>
      <c r="I140" s="611" t="s">
        <v>1055</v>
      </c>
      <c r="J140" s="609" t="s">
        <v>1056</v>
      </c>
    </row>
    <row r="141" spans="8:10" ht="15.75">
      <c r="H141" s="588"/>
      <c r="I141" s="81"/>
      <c r="J141" s="82"/>
    </row>
    <row r="142" spans="8:10" ht="15.75">
      <c r="H142" s="588"/>
      <c r="I142" s="81"/>
      <c r="J142" s="82"/>
    </row>
    <row r="143" spans="8:10" ht="15.75">
      <c r="H143" s="610" t="s">
        <v>1057</v>
      </c>
      <c r="I143" s="611" t="s">
        <v>1058</v>
      </c>
      <c r="J143" s="609" t="s">
        <v>1059</v>
      </c>
    </row>
    <row r="144" spans="8:10" ht="409.5">
      <c r="H144" s="588" t="s">
        <v>1060</v>
      </c>
      <c r="I144" s="588" t="s">
        <v>1061</v>
      </c>
      <c r="J144" s="588" t="s">
        <v>1062</v>
      </c>
    </row>
    <row r="145" spans="8:10" ht="15.75">
      <c r="H145" s="588"/>
      <c r="I145" s="81"/>
      <c r="J145" s="82"/>
    </row>
    <row r="146" spans="8:10" ht="15.75">
      <c r="H146" s="588"/>
      <c r="I146" s="81"/>
      <c r="J146" s="82"/>
    </row>
    <row r="147" spans="8:10" ht="32.25" thickBot="1">
      <c r="H147" s="593" t="s">
        <v>1063</v>
      </c>
      <c r="I147" s="593" t="s">
        <v>1064</v>
      </c>
      <c r="J147" s="593" t="s">
        <v>1065</v>
      </c>
    </row>
    <row r="148" spans="8:10" ht="32.25" thickTop="1">
      <c r="H148" s="618" t="s">
        <v>1066</v>
      </c>
      <c r="I148" s="619" t="s">
        <v>1067</v>
      </c>
      <c r="J148" s="617" t="s">
        <v>1068</v>
      </c>
    </row>
    <row r="149" spans="8:10" ht="31.5">
      <c r="H149" s="588" t="s">
        <v>1069</v>
      </c>
      <c r="I149" s="81"/>
      <c r="J149" s="82"/>
    </row>
    <row r="150" spans="8:10" ht="15.75">
      <c r="H150" s="593" t="s">
        <v>1070</v>
      </c>
      <c r="I150" s="594"/>
      <c r="J150" s="82"/>
    </row>
    <row r="151" spans="8:10" ht="15.75">
      <c r="H151" s="595"/>
      <c r="I151" s="596" t="s">
        <v>1071</v>
      </c>
      <c r="J151" s="82"/>
    </row>
    <row r="152" spans="8:10" ht="16.5" thickBot="1">
      <c r="H152" s="612"/>
      <c r="I152" s="596"/>
      <c r="J152" s="598" t="s">
        <v>1072</v>
      </c>
    </row>
    <row r="153" spans="8:10" ht="32.25" thickTop="1">
      <c r="H153" s="618" t="s">
        <v>1073</v>
      </c>
      <c r="I153" s="619" t="s">
        <v>1074</v>
      </c>
      <c r="J153" s="617" t="s">
        <v>1075</v>
      </c>
    </row>
    <row r="154" spans="8:10" ht="15.75">
      <c r="H154" s="588"/>
      <c r="I154" s="81"/>
      <c r="J154" s="82"/>
    </row>
    <row r="155" spans="8:10" ht="15.75">
      <c r="H155" s="593" t="s">
        <v>1076</v>
      </c>
      <c r="I155" s="81"/>
      <c r="J155" s="81"/>
    </row>
    <row r="156" spans="8:10" ht="15.75">
      <c r="H156" s="588"/>
      <c r="I156" s="596" t="s">
        <v>1077</v>
      </c>
      <c r="J156" s="599"/>
    </row>
    <row r="157" spans="8:10" ht="15.75">
      <c r="H157" s="585"/>
      <c r="I157" s="586"/>
      <c r="J157" s="584" t="s">
        <v>1078</v>
      </c>
    </row>
  </sheetData>
  <mergeCells count="68">
    <mergeCell ref="A53:E53"/>
    <mergeCell ref="A55:B55"/>
    <mergeCell ref="C55:E55"/>
    <mergeCell ref="A71:J71"/>
    <mergeCell ref="A72:J72"/>
    <mergeCell ref="A56:B56"/>
    <mergeCell ref="C56:E56"/>
    <mergeCell ref="A58:B58"/>
    <mergeCell ref="A69:J69"/>
    <mergeCell ref="A70:J70"/>
    <mergeCell ref="A66:J66"/>
    <mergeCell ref="D48:H48"/>
    <mergeCell ref="I48:J48"/>
    <mergeCell ref="D49:H49"/>
    <mergeCell ref="I49:J49"/>
    <mergeCell ref="A52:E52"/>
    <mergeCell ref="B43:C43"/>
    <mergeCell ref="D45:E45"/>
    <mergeCell ref="H45:J45"/>
    <mergeCell ref="D46:E46"/>
    <mergeCell ref="H46:J46"/>
    <mergeCell ref="B1:J1"/>
    <mergeCell ref="D3:D5"/>
    <mergeCell ref="E3:E5"/>
    <mergeCell ref="H3:J3"/>
    <mergeCell ref="B22:C22"/>
    <mergeCell ref="B6:C6"/>
    <mergeCell ref="B7:C7"/>
    <mergeCell ref="B8:C8"/>
    <mergeCell ref="B9:C9"/>
    <mergeCell ref="B10:C10"/>
    <mergeCell ref="B14:C14"/>
    <mergeCell ref="B19:C19"/>
    <mergeCell ref="B20:C20"/>
    <mergeCell ref="F3:F5"/>
    <mergeCell ref="G3:G5"/>
    <mergeCell ref="B11:C11"/>
    <mergeCell ref="B33:C33"/>
    <mergeCell ref="B34:C34"/>
    <mergeCell ref="B35:C35"/>
    <mergeCell ref="B23:C23"/>
    <mergeCell ref="B26:C26"/>
    <mergeCell ref="B27:C27"/>
    <mergeCell ref="B28:C28"/>
    <mergeCell ref="B29:C29"/>
    <mergeCell ref="B30:C30"/>
    <mergeCell ref="A3:A5"/>
    <mergeCell ref="B3:C5"/>
    <mergeCell ref="B16:C16"/>
    <mergeCell ref="B17:C17"/>
    <mergeCell ref="B18:C18"/>
    <mergeCell ref="B15:C15"/>
    <mergeCell ref="B38:C38"/>
    <mergeCell ref="A67:J67"/>
    <mergeCell ref="A68:J68"/>
    <mergeCell ref="A59:J59"/>
    <mergeCell ref="A60:J60"/>
    <mergeCell ref="A61:J61"/>
    <mergeCell ref="A62:J62"/>
    <mergeCell ref="A63:J63"/>
    <mergeCell ref="A64:J64"/>
    <mergeCell ref="A65:J65"/>
    <mergeCell ref="D35:D38"/>
    <mergeCell ref="E35:E38"/>
    <mergeCell ref="B39:C39"/>
    <mergeCell ref="B40:C40"/>
    <mergeCell ref="D40:D43"/>
    <mergeCell ref="E40:E43"/>
  </mergeCells>
  <pageMargins left="0.31496062992125984" right="0.31496062992125984" top="0.74803149606299213" bottom="0.35433070866141736" header="0.31496062992125984" footer="0.31496062992125984"/>
  <pageSetup paperSize="9" scale="74" fitToWidth="2" fitToHeight="2" orientation="landscape" r:id="rId1"/>
</worksheet>
</file>

<file path=xl/worksheets/sheet5.xml><?xml version="1.0" encoding="utf-8"?>
<worksheet xmlns="http://schemas.openxmlformats.org/spreadsheetml/2006/main" xmlns:r="http://schemas.openxmlformats.org/officeDocument/2006/relationships">
  <sheetPr codeName="Лист5">
    <tabColor theme="6" tint="0.59999389629810485"/>
    <pageSetUpPr fitToPage="1"/>
  </sheetPr>
  <dimension ref="A1:L66"/>
  <sheetViews>
    <sheetView showZeros="0" view="pageBreakPreview" zoomScale="75" zoomScaleNormal="100" zoomScaleSheetLayoutView="75" workbookViewId="0">
      <selection activeCell="F36" sqref="F36:H36"/>
    </sheetView>
  </sheetViews>
  <sheetFormatPr defaultRowHeight="12.75"/>
  <cols>
    <col min="2" max="2" width="43.85546875" customWidth="1"/>
    <col min="3" max="3" width="49.42578125" customWidth="1"/>
    <col min="4" max="4" width="9.42578125" customWidth="1"/>
    <col min="5" max="5" width="9.140625" customWidth="1"/>
    <col min="6" max="6" width="15.5703125" customWidth="1"/>
    <col min="7" max="8" width="14.7109375" customWidth="1"/>
    <col min="9" max="9" width="54.5703125" customWidth="1"/>
    <col min="10" max="10" width="14.140625" customWidth="1"/>
    <col min="11" max="11" width="15.42578125" customWidth="1"/>
  </cols>
  <sheetData>
    <row r="1" spans="1:11" s="4" customFormat="1" ht="21.75">
      <c r="B1" s="1554" t="s">
        <v>230</v>
      </c>
      <c r="C1" s="1554"/>
      <c r="D1" s="1554"/>
      <c r="E1" s="1554"/>
      <c r="F1" s="1554"/>
      <c r="G1" s="1554"/>
      <c r="H1" s="1554"/>
    </row>
    <row r="2" spans="1:11" s="4" customFormat="1" ht="18.75">
      <c r="B2" s="3"/>
      <c r="C2" s="3"/>
    </row>
    <row r="3" spans="1:11" s="13" customFormat="1" ht="19.5" customHeight="1">
      <c r="A3" s="1580" t="s">
        <v>139</v>
      </c>
      <c r="B3" s="1583" t="s">
        <v>0</v>
      </c>
      <c r="C3" s="1584"/>
      <c r="D3" s="1563" t="s">
        <v>1</v>
      </c>
      <c r="E3" s="1563" t="s">
        <v>140</v>
      </c>
      <c r="F3" s="1563" t="s">
        <v>5</v>
      </c>
      <c r="G3" s="1563"/>
      <c r="H3" s="1563"/>
    </row>
    <row r="4" spans="1:11" s="13" customFormat="1" ht="15.75">
      <c r="A4" s="1581"/>
      <c r="B4" s="1585"/>
      <c r="C4" s="1586"/>
      <c r="D4" s="1563"/>
      <c r="E4" s="1563"/>
      <c r="F4" s="391">
        <v>2025</v>
      </c>
      <c r="G4" s="16">
        <v>2026</v>
      </c>
      <c r="H4" s="17">
        <v>2027</v>
      </c>
    </row>
    <row r="5" spans="1:11" s="13" customFormat="1" ht="47.25">
      <c r="A5" s="1582"/>
      <c r="B5" s="1587"/>
      <c r="C5" s="1588"/>
      <c r="D5" s="1563"/>
      <c r="E5" s="1563"/>
      <c r="F5" s="31" t="s">
        <v>2</v>
      </c>
      <c r="G5" s="32" t="s">
        <v>3</v>
      </c>
      <c r="H5" s="33" t="s">
        <v>4</v>
      </c>
    </row>
    <row r="6" spans="1:11" s="13" customFormat="1" ht="16.5" customHeight="1">
      <c r="A6" s="34">
        <v>1</v>
      </c>
      <c r="B6" s="1597" t="s">
        <v>7</v>
      </c>
      <c r="C6" s="1598"/>
      <c r="D6" s="34" t="s">
        <v>8</v>
      </c>
      <c r="E6" s="34" t="s">
        <v>9</v>
      </c>
      <c r="F6" s="66">
        <v>5</v>
      </c>
      <c r="G6" s="67">
        <v>6</v>
      </c>
      <c r="H6" s="68">
        <v>7</v>
      </c>
      <c r="I6" s="13" t="s">
        <v>371</v>
      </c>
    </row>
    <row r="7" spans="1:11" s="13" customFormat="1" ht="21.75" customHeight="1">
      <c r="A7" s="30">
        <v>1</v>
      </c>
      <c r="B7" s="1635" t="s">
        <v>200</v>
      </c>
      <c r="C7" s="1636"/>
      <c r="D7" s="46" t="s">
        <v>141</v>
      </c>
      <c r="E7" s="69" t="s">
        <v>23</v>
      </c>
      <c r="F7" s="70">
        <f>'2'!F80</f>
        <v>31676855.420000002</v>
      </c>
      <c r="G7" s="71">
        <f>'2'!G80</f>
        <v>26306827.199999999</v>
      </c>
      <c r="H7" s="72">
        <f>'2'!H80</f>
        <v>26306827.199999999</v>
      </c>
      <c r="I7" s="73">
        <f>F7-F10-F11</f>
        <v>28824248.880000003</v>
      </c>
      <c r="J7" s="73">
        <f>G7-G10-G11</f>
        <v>17159476.34</v>
      </c>
      <c r="K7" s="73">
        <f>H7-H10-H11</f>
        <v>23420941.599999998</v>
      </c>
    </row>
    <row r="8" spans="1:11" s="7" customFormat="1" ht="112.15" customHeight="1">
      <c r="A8" s="26" t="s">
        <v>142</v>
      </c>
      <c r="B8" s="1591" t="s">
        <v>198</v>
      </c>
      <c r="C8" s="1592"/>
      <c r="D8" s="46" t="s">
        <v>143</v>
      </c>
      <c r="E8" s="69" t="s">
        <v>23</v>
      </c>
      <c r="F8" s="74"/>
      <c r="G8" s="75"/>
      <c r="H8" s="76"/>
    </row>
    <row r="9" spans="1:11" s="7" customFormat="1" ht="47.25" customHeight="1">
      <c r="A9" s="26" t="s">
        <v>144</v>
      </c>
      <c r="B9" s="1591" t="s">
        <v>201</v>
      </c>
      <c r="C9" s="1592"/>
      <c r="D9" s="46" t="s">
        <v>145</v>
      </c>
      <c r="E9" s="69" t="s">
        <v>23</v>
      </c>
      <c r="F9" s="74"/>
      <c r="G9" s="75"/>
      <c r="H9" s="76"/>
    </row>
    <row r="10" spans="1:11" s="7" customFormat="1" ht="33" customHeight="1">
      <c r="A10" s="26" t="s">
        <v>146</v>
      </c>
      <c r="B10" s="1591" t="s">
        <v>202</v>
      </c>
      <c r="C10" s="1592"/>
      <c r="D10" s="46" t="s">
        <v>148</v>
      </c>
      <c r="E10" s="69" t="s">
        <v>23</v>
      </c>
      <c r="F10" s="77">
        <f>Титульный!O20</f>
        <v>0</v>
      </c>
      <c r="G10" s="78">
        <f>Титульный!P20</f>
        <v>0</v>
      </c>
      <c r="H10" s="79">
        <f>Титульный!Q20</f>
        <v>0</v>
      </c>
    </row>
    <row r="11" spans="1:11" s="7" customFormat="1" ht="36" customHeight="1">
      <c r="A11" s="26" t="s">
        <v>147</v>
      </c>
      <c r="B11" s="1591" t="s">
        <v>203</v>
      </c>
      <c r="C11" s="1592"/>
      <c r="D11" s="46" t="s">
        <v>149</v>
      </c>
      <c r="E11" s="69" t="s">
        <v>23</v>
      </c>
      <c r="F11" s="80">
        <f>F12+F15+F18+F19+F22</f>
        <v>2852606.54</v>
      </c>
      <c r="G11" s="81">
        <f>G12+G15+G18+G19+G22</f>
        <v>9147350.8599999994</v>
      </c>
      <c r="H11" s="82">
        <f>H12+H15+H18+H19+H22</f>
        <v>2885885.6</v>
      </c>
    </row>
    <row r="12" spans="1:11" s="7" customFormat="1" ht="48" customHeight="1">
      <c r="A12" s="26" t="s">
        <v>150</v>
      </c>
      <c r="B12" s="1591" t="s">
        <v>196</v>
      </c>
      <c r="C12" s="1592"/>
      <c r="D12" s="46" t="s">
        <v>151</v>
      </c>
      <c r="E12" s="69" t="s">
        <v>23</v>
      </c>
      <c r="F12" s="74">
        <f>F13+F14</f>
        <v>0</v>
      </c>
      <c r="G12" s="75">
        <f>G13+G14</f>
        <v>0</v>
      </c>
      <c r="H12" s="76">
        <f>H13+H14</f>
        <v>0</v>
      </c>
    </row>
    <row r="13" spans="1:11" s="7" customFormat="1" ht="33" customHeight="1">
      <c r="A13" s="26" t="s">
        <v>152</v>
      </c>
      <c r="B13" s="1591" t="s">
        <v>153</v>
      </c>
      <c r="C13" s="1592"/>
      <c r="D13" s="46" t="s">
        <v>154</v>
      </c>
      <c r="E13" s="69" t="s">
        <v>23</v>
      </c>
      <c r="F13" s="77">
        <f>Титульный!Y40-F10</f>
        <v>0</v>
      </c>
      <c r="G13" s="78">
        <f>Титульный!Z40-G10</f>
        <v>0</v>
      </c>
      <c r="H13" s="79">
        <f>Титульный!AA40-H10</f>
        <v>0</v>
      </c>
      <c r="I13" s="7" t="s">
        <v>372</v>
      </c>
    </row>
    <row r="14" spans="1:11" s="7" customFormat="1" ht="21.75" customHeight="1">
      <c r="A14" s="26" t="s">
        <v>155</v>
      </c>
      <c r="B14" s="1591" t="s">
        <v>199</v>
      </c>
      <c r="C14" s="1592"/>
      <c r="D14" s="46" t="s">
        <v>156</v>
      </c>
      <c r="E14" s="69" t="s">
        <v>23</v>
      </c>
      <c r="F14" s="77"/>
      <c r="G14" s="78"/>
      <c r="H14" s="79"/>
      <c r="I14" s="7" t="s">
        <v>373</v>
      </c>
    </row>
    <row r="15" spans="1:11" s="7" customFormat="1" ht="33" customHeight="1">
      <c r="A15" s="26" t="s">
        <v>157</v>
      </c>
      <c r="B15" s="1591" t="s">
        <v>158</v>
      </c>
      <c r="C15" s="1592"/>
      <c r="D15" s="46" t="s">
        <v>159</v>
      </c>
      <c r="E15" s="69" t="s">
        <v>23</v>
      </c>
      <c r="F15" s="74">
        <f>F16+F17</f>
        <v>0</v>
      </c>
      <c r="G15" s="75">
        <f>G16+G17</f>
        <v>0</v>
      </c>
      <c r="H15" s="76">
        <f>H16+H17</f>
        <v>0</v>
      </c>
    </row>
    <row r="16" spans="1:11" s="7" customFormat="1" ht="33" customHeight="1">
      <c r="A16" s="26" t="s">
        <v>160</v>
      </c>
      <c r="B16" s="1591" t="s">
        <v>153</v>
      </c>
      <c r="C16" s="1592"/>
      <c r="D16" s="46" t="s">
        <v>161</v>
      </c>
      <c r="E16" s="69" t="s">
        <v>23</v>
      </c>
      <c r="F16" s="77">
        <f>Титульный!AB40</f>
        <v>0</v>
      </c>
      <c r="G16" s="78">
        <f>Титульный!AC40</f>
        <v>0</v>
      </c>
      <c r="H16" s="79">
        <f>Титульный!AD40</f>
        <v>0</v>
      </c>
      <c r="I16" s="7" t="s">
        <v>384</v>
      </c>
    </row>
    <row r="17" spans="1:9" s="7" customFormat="1" ht="21.75" customHeight="1">
      <c r="A17" s="26" t="s">
        <v>162</v>
      </c>
      <c r="B17" s="1591" t="s">
        <v>199</v>
      </c>
      <c r="C17" s="1592"/>
      <c r="D17" s="46" t="s">
        <v>163</v>
      </c>
      <c r="E17" s="69" t="s">
        <v>23</v>
      </c>
      <c r="F17" s="77"/>
      <c r="G17" s="78"/>
      <c r="H17" s="79"/>
      <c r="I17" s="7" t="s">
        <v>374</v>
      </c>
    </row>
    <row r="18" spans="1:9" s="7" customFormat="1" ht="21.75" customHeight="1">
      <c r="A18" s="26" t="s">
        <v>164</v>
      </c>
      <c r="B18" s="1591" t="s">
        <v>204</v>
      </c>
      <c r="C18" s="1592"/>
      <c r="D18" s="46" t="s">
        <v>165</v>
      </c>
      <c r="E18" s="69" t="s">
        <v>23</v>
      </c>
      <c r="F18" s="74"/>
      <c r="G18" s="75"/>
      <c r="H18" s="76"/>
    </row>
    <row r="19" spans="1:9" s="7" customFormat="1" ht="21.75" customHeight="1">
      <c r="A19" s="26" t="s">
        <v>166</v>
      </c>
      <c r="B19" s="1591" t="s">
        <v>167</v>
      </c>
      <c r="C19" s="1592"/>
      <c r="D19" s="46" t="s">
        <v>168</v>
      </c>
      <c r="E19" s="69" t="s">
        <v>23</v>
      </c>
      <c r="F19" s="74"/>
      <c r="G19" s="75"/>
      <c r="H19" s="76"/>
    </row>
    <row r="20" spans="1:9" s="7" customFormat="1" ht="33" customHeight="1">
      <c r="A20" s="26" t="s">
        <v>169</v>
      </c>
      <c r="B20" s="1591" t="s">
        <v>153</v>
      </c>
      <c r="C20" s="1592"/>
      <c r="D20" s="46" t="s">
        <v>170</v>
      </c>
      <c r="E20" s="69" t="s">
        <v>23</v>
      </c>
      <c r="F20" s="74"/>
      <c r="G20" s="75"/>
      <c r="H20" s="76"/>
    </row>
    <row r="21" spans="1:9" s="7" customFormat="1" ht="21.75" customHeight="1">
      <c r="A21" s="26" t="s">
        <v>171</v>
      </c>
      <c r="B21" s="1591" t="s">
        <v>199</v>
      </c>
      <c r="C21" s="1592"/>
      <c r="D21" s="46" t="s">
        <v>172</v>
      </c>
      <c r="E21" s="69" t="s">
        <v>23</v>
      </c>
      <c r="F21" s="74"/>
      <c r="G21" s="75"/>
      <c r="H21" s="76"/>
    </row>
    <row r="22" spans="1:9" s="7" customFormat="1" ht="21.75" customHeight="1">
      <c r="A22" s="26" t="s">
        <v>173</v>
      </c>
      <c r="B22" s="1591" t="s">
        <v>174</v>
      </c>
      <c r="C22" s="1592"/>
      <c r="D22" s="46" t="s">
        <v>175</v>
      </c>
      <c r="E22" s="69" t="s">
        <v>23</v>
      </c>
      <c r="F22" s="74">
        <f>F23+F24</f>
        <v>2852606.54</v>
      </c>
      <c r="G22" s="75">
        <f>G23+G24</f>
        <v>9147350.8599999994</v>
      </c>
      <c r="H22" s="76">
        <f>H23+H24</f>
        <v>2885885.6</v>
      </c>
    </row>
    <row r="23" spans="1:9" s="7" customFormat="1" ht="33" customHeight="1">
      <c r="A23" s="26" t="s">
        <v>176</v>
      </c>
      <c r="B23" s="1591" t="s">
        <v>153</v>
      </c>
      <c r="C23" s="1592"/>
      <c r="D23" s="46" t="s">
        <v>177</v>
      </c>
      <c r="E23" s="69" t="s">
        <v>23</v>
      </c>
      <c r="F23" s="77">
        <f>Титульный!V38</f>
        <v>2852606.54</v>
      </c>
      <c r="G23" s="78">
        <f>Титульный!W38</f>
        <v>9147350.8599999994</v>
      </c>
      <c r="H23" s="79">
        <f>Титульный!X38</f>
        <v>2885885.6</v>
      </c>
      <c r="I23" s="7" t="s">
        <v>383</v>
      </c>
    </row>
    <row r="24" spans="1:9" s="7" customFormat="1" ht="21.75" customHeight="1">
      <c r="A24" s="29" t="s">
        <v>178</v>
      </c>
      <c r="B24" s="1633" t="s">
        <v>179</v>
      </c>
      <c r="C24" s="1634"/>
      <c r="D24" s="394" t="s">
        <v>180</v>
      </c>
      <c r="E24" s="83" t="s">
        <v>23</v>
      </c>
      <c r="F24" s="84"/>
      <c r="G24" s="85"/>
      <c r="H24" s="86"/>
      <c r="I24" s="7" t="s">
        <v>375</v>
      </c>
    </row>
    <row r="25" spans="1:9" s="7" customFormat="1" ht="34.9" customHeight="1">
      <c r="A25" s="28" t="s">
        <v>7</v>
      </c>
      <c r="B25" s="1635" t="s">
        <v>205</v>
      </c>
      <c r="C25" s="1636"/>
      <c r="D25" s="47" t="s">
        <v>181</v>
      </c>
      <c r="E25" s="47" t="s">
        <v>23</v>
      </c>
      <c r="F25" s="87">
        <f>F23+F16+F13</f>
        <v>2852606.54</v>
      </c>
      <c r="G25" s="88">
        <f>G23+G16+G13</f>
        <v>9147350.8599999994</v>
      </c>
      <c r="H25" s="89">
        <f>H23+H16+H13</f>
        <v>2885885.6</v>
      </c>
    </row>
    <row r="26" spans="1:9" s="7" customFormat="1" ht="15.6" customHeight="1">
      <c r="A26" s="26"/>
      <c r="B26" s="1591" t="s">
        <v>182</v>
      </c>
      <c r="C26" s="1592"/>
      <c r="D26" s="1630" t="s">
        <v>183</v>
      </c>
      <c r="E26" s="1630"/>
      <c r="F26" s="74"/>
      <c r="G26" s="75"/>
      <c r="H26" s="76"/>
    </row>
    <row r="27" spans="1:9" s="7" customFormat="1" ht="15.6" customHeight="1">
      <c r="A27" s="29"/>
      <c r="B27" s="60" t="s">
        <v>762</v>
      </c>
      <c r="C27" s="61"/>
      <c r="D27" s="1631"/>
      <c r="E27" s="1631"/>
      <c r="F27" s="90">
        <f>F25</f>
        <v>2852606.54</v>
      </c>
      <c r="G27" s="91"/>
      <c r="H27" s="76"/>
    </row>
    <row r="28" spans="1:9" s="7" customFormat="1" ht="15.6" customHeight="1">
      <c r="A28" s="29"/>
      <c r="B28" s="60" t="s">
        <v>887</v>
      </c>
      <c r="C28" s="61"/>
      <c r="D28" s="1631"/>
      <c r="E28" s="1631"/>
      <c r="F28" s="97"/>
      <c r="G28" s="92">
        <f>G25-G10</f>
        <v>9147350.8599999994</v>
      </c>
      <c r="H28" s="76"/>
    </row>
    <row r="29" spans="1:9" s="7" customFormat="1" ht="15.6" customHeight="1">
      <c r="A29" s="27"/>
      <c r="B29" s="1633" t="s">
        <v>1079</v>
      </c>
      <c r="C29" s="1634"/>
      <c r="D29" s="1632"/>
      <c r="E29" s="1632"/>
      <c r="F29" s="97"/>
      <c r="G29" s="99"/>
      <c r="H29" s="98">
        <f>H25-H10</f>
        <v>2885885.6</v>
      </c>
    </row>
    <row r="30" spans="1:9" s="7" customFormat="1" ht="30.6" customHeight="1">
      <c r="A30" s="28" t="s">
        <v>8</v>
      </c>
      <c r="B30" s="1635" t="s">
        <v>184</v>
      </c>
      <c r="C30" s="1636"/>
      <c r="D30" s="48" t="s">
        <v>185</v>
      </c>
      <c r="E30" s="48" t="s">
        <v>23</v>
      </c>
      <c r="F30" s="93"/>
      <c r="G30" s="88"/>
      <c r="H30" s="94"/>
    </row>
    <row r="31" spans="1:9" s="7" customFormat="1" ht="16.5" customHeight="1">
      <c r="A31" s="26"/>
      <c r="B31" s="1591" t="s">
        <v>182</v>
      </c>
      <c r="C31" s="1592"/>
      <c r="D31" s="1630" t="s">
        <v>186</v>
      </c>
      <c r="E31" s="1630"/>
      <c r="F31" s="75"/>
      <c r="G31" s="75"/>
      <c r="H31" s="76"/>
    </row>
    <row r="32" spans="1:9" s="7" customFormat="1" ht="15.75">
      <c r="A32" s="29"/>
      <c r="B32" s="60" t="s">
        <v>762</v>
      </c>
      <c r="C32" s="61"/>
      <c r="D32" s="1631"/>
      <c r="E32" s="1631"/>
      <c r="F32" s="90"/>
      <c r="G32" s="75"/>
      <c r="H32" s="75"/>
    </row>
    <row r="33" spans="1:8" s="7" customFormat="1" ht="15.75">
      <c r="A33" s="29"/>
      <c r="B33" s="60" t="s">
        <v>887</v>
      </c>
      <c r="C33" s="61"/>
      <c r="D33" s="1631"/>
      <c r="E33" s="1631"/>
      <c r="F33" s="75"/>
      <c r="G33" s="92"/>
      <c r="H33" s="95"/>
    </row>
    <row r="34" spans="1:8" s="7" customFormat="1" ht="15.75">
      <c r="A34" s="27"/>
      <c r="B34" s="1633" t="s">
        <v>1079</v>
      </c>
      <c r="C34" s="1634"/>
      <c r="D34" s="1632"/>
      <c r="E34" s="1632"/>
      <c r="F34" s="100"/>
      <c r="G34" s="99"/>
      <c r="H34" s="101"/>
    </row>
    <row r="35" spans="1:8" s="21" customFormat="1" ht="15.75">
      <c r="B35" s="25"/>
      <c r="C35" s="25"/>
      <c r="D35" s="22"/>
      <c r="E35" s="22"/>
      <c r="F35" s="23"/>
    </row>
    <row r="36" spans="1:8" ht="33.75" customHeight="1">
      <c r="B36" s="2" t="s">
        <v>187</v>
      </c>
      <c r="C36" s="850" t="str">
        <f>CONCATENATE("Директор ",Титульный!R2)</f>
        <v>Директор МБОУ г. Мурманска  СОШ № 49</v>
      </c>
      <c r="D36" s="1607"/>
      <c r="E36" s="1608"/>
      <c r="F36" s="1609" t="str">
        <f>Титульный!R3</f>
        <v>В.Г. Андрианов</v>
      </c>
      <c r="G36" s="1610"/>
      <c r="H36" s="1611"/>
    </row>
    <row r="37" spans="1:8" ht="15.75">
      <c r="B37" s="2" t="s">
        <v>188</v>
      </c>
      <c r="C37" s="395" t="s">
        <v>189</v>
      </c>
      <c r="D37" s="1612" t="s">
        <v>12</v>
      </c>
      <c r="E37" s="1612"/>
      <c r="F37" s="1613" t="s">
        <v>13</v>
      </c>
      <c r="G37" s="1613"/>
      <c r="H37" s="1613"/>
    </row>
    <row r="38" spans="1:8" ht="15.75">
      <c r="B38" s="2"/>
      <c r="C38" s="396"/>
      <c r="D38" s="396"/>
      <c r="E38" s="392"/>
      <c r="F38" s="392"/>
      <c r="G38" s="392"/>
      <c r="H38" s="392"/>
    </row>
    <row r="39" spans="1:8" ht="15" customHeight="1">
      <c r="B39" s="2" t="s">
        <v>190</v>
      </c>
      <c r="C39" s="114" t="s">
        <v>410</v>
      </c>
      <c r="D39" s="1614" t="str">
        <f>Титульный!R4</f>
        <v>С.Ф. Мусатова</v>
      </c>
      <c r="E39" s="1615"/>
      <c r="F39" s="1616"/>
      <c r="G39" s="1617" t="s">
        <v>860</v>
      </c>
      <c r="H39" s="1618"/>
    </row>
    <row r="40" spans="1:8" ht="15.75">
      <c r="B40" s="1"/>
      <c r="C40" s="395" t="s">
        <v>189</v>
      </c>
      <c r="D40" s="1612" t="s">
        <v>191</v>
      </c>
      <c r="E40" s="1612"/>
      <c r="F40" s="1612"/>
      <c r="G40" s="1613" t="s">
        <v>192</v>
      </c>
      <c r="H40" s="1613"/>
    </row>
    <row r="41" spans="1:8" ht="13.5" thickBot="1">
      <c r="B41" s="1"/>
      <c r="C41" s="1"/>
      <c r="D41" s="1"/>
    </row>
    <row r="42" spans="1:8" s="13" customFormat="1" ht="15.75">
      <c r="A42" s="42" t="s">
        <v>193</v>
      </c>
      <c r="B42" s="36"/>
      <c r="C42" s="36"/>
      <c r="D42" s="36"/>
      <c r="E42" s="37"/>
    </row>
    <row r="43" spans="1:8" s="13" customFormat="1" ht="15.75">
      <c r="A43" s="1619" t="str">
        <f>'1'!C3</f>
        <v>Заместитель председателя комитета</v>
      </c>
      <c r="B43" s="1620"/>
      <c r="C43" s="1620"/>
      <c r="D43" s="1620"/>
      <c r="E43" s="1621"/>
    </row>
    <row r="44" spans="1:8" s="13" customFormat="1" ht="15.75">
      <c r="A44" s="1622" t="s">
        <v>197</v>
      </c>
      <c r="B44" s="1623"/>
      <c r="C44" s="1623"/>
      <c r="D44" s="1623"/>
      <c r="E44" s="1624"/>
    </row>
    <row r="45" spans="1:8" s="13" customFormat="1" ht="12.75" customHeight="1">
      <c r="A45" s="38"/>
      <c r="B45" s="24"/>
      <c r="C45" s="24"/>
      <c r="D45" s="24"/>
      <c r="E45" s="39"/>
    </row>
    <row r="46" spans="1:8" s="13" customFormat="1" ht="38.25" customHeight="1">
      <c r="A46" s="1619"/>
      <c r="B46" s="1620"/>
      <c r="C46" s="1620" t="str">
        <f>'1'!E9</f>
        <v>Воробьева Светлана Сергеевна</v>
      </c>
      <c r="D46" s="1620"/>
      <c r="E46" s="1621"/>
    </row>
    <row r="47" spans="1:8" s="13" customFormat="1" ht="19.899999999999999" customHeight="1">
      <c r="A47" s="1625" t="s">
        <v>12</v>
      </c>
      <c r="B47" s="1613"/>
      <c r="C47" s="1613" t="s">
        <v>13</v>
      </c>
      <c r="D47" s="1613"/>
      <c r="E47" s="1626"/>
    </row>
    <row r="48" spans="1:8" s="13" customFormat="1" ht="33" customHeight="1">
      <c r="A48" s="38"/>
      <c r="B48" s="24"/>
      <c r="C48" s="24"/>
      <c r="D48" s="24"/>
      <c r="E48" s="39"/>
    </row>
    <row r="49" spans="1:12" s="12" customFormat="1" ht="21.75" customHeight="1" thickBot="1">
      <c r="A49" s="1627" t="str">
        <f>'1'!C12</f>
        <v>« _________ »________________________202___ г.</v>
      </c>
      <c r="B49" s="1628"/>
      <c r="C49" s="40"/>
      <c r="D49" s="40"/>
      <c r="E49" s="41"/>
    </row>
    <row r="50" spans="1:12" s="393" customFormat="1" ht="21.75" customHeight="1">
      <c r="A50" s="1567" t="s">
        <v>376</v>
      </c>
      <c r="B50" s="1568"/>
      <c r="C50" s="1568"/>
      <c r="D50" s="1568"/>
      <c r="E50" s="1568"/>
      <c r="F50" s="1568"/>
      <c r="G50" s="1568"/>
      <c r="H50" s="1568"/>
    </row>
    <row r="51" spans="1:12" s="96" customFormat="1" ht="39.6" customHeight="1">
      <c r="A51" s="1629" t="s">
        <v>796</v>
      </c>
      <c r="B51" s="1629"/>
      <c r="C51" s="1629"/>
      <c r="D51" s="1629"/>
      <c r="E51" s="1629"/>
      <c r="F51" s="1629"/>
      <c r="G51" s="1629"/>
      <c r="H51" s="1629"/>
      <c r="I51" s="420"/>
      <c r="J51" s="420"/>
      <c r="L51" s="421"/>
    </row>
    <row r="52" spans="1:12" s="96" customFormat="1" ht="86.25" customHeight="1">
      <c r="A52" s="1629" t="s">
        <v>1080</v>
      </c>
      <c r="B52" s="1629"/>
      <c r="C52" s="1629"/>
      <c r="D52" s="1629"/>
      <c r="E52" s="1629"/>
      <c r="F52" s="1629"/>
      <c r="G52" s="1629"/>
      <c r="H52" s="1629"/>
      <c r="I52" s="420"/>
      <c r="J52" s="420"/>
    </row>
    <row r="53" spans="1:12" s="96" customFormat="1" ht="57.6" customHeight="1">
      <c r="A53" s="1629" t="s">
        <v>797</v>
      </c>
      <c r="B53" s="1629"/>
      <c r="C53" s="1629"/>
      <c r="D53" s="1629"/>
      <c r="E53" s="1629"/>
      <c r="F53" s="1629"/>
      <c r="G53" s="1629"/>
      <c r="H53" s="1629"/>
      <c r="I53" s="420"/>
      <c r="J53" s="420"/>
    </row>
    <row r="54" spans="1:12" s="96" customFormat="1" ht="84.6" customHeight="1">
      <c r="A54" s="1629" t="s">
        <v>798</v>
      </c>
      <c r="B54" s="1629"/>
      <c r="C54" s="1629"/>
      <c r="D54" s="1629"/>
      <c r="E54" s="1629"/>
      <c r="F54" s="1629"/>
      <c r="G54" s="1629"/>
      <c r="H54" s="1629"/>
      <c r="I54" s="859"/>
      <c r="J54" s="420"/>
    </row>
    <row r="55" spans="1:12" s="96" customFormat="1" ht="34.9" customHeight="1">
      <c r="A55" s="1569" t="s">
        <v>378</v>
      </c>
      <c r="B55" s="1569"/>
      <c r="C55" s="1569"/>
      <c r="D55" s="1569"/>
      <c r="E55" s="1569"/>
      <c r="F55" s="1569"/>
      <c r="G55" s="1569"/>
      <c r="H55" s="1569"/>
    </row>
    <row r="56" spans="1:12" s="96" customFormat="1">
      <c r="A56" s="1569" t="s">
        <v>379</v>
      </c>
      <c r="B56" s="1569"/>
      <c r="C56" s="1569"/>
      <c r="D56" s="1569"/>
      <c r="E56" s="1569"/>
      <c r="F56" s="1569"/>
      <c r="G56" s="1569"/>
      <c r="H56" s="1569"/>
    </row>
    <row r="57" spans="1:12" s="96" customFormat="1" ht="16.149999999999999" customHeight="1">
      <c r="A57" s="1569" t="s">
        <v>380</v>
      </c>
      <c r="B57" s="1569"/>
      <c r="C57" s="1569"/>
      <c r="D57" s="1569"/>
      <c r="E57" s="1569"/>
      <c r="F57" s="1569"/>
      <c r="G57" s="1569"/>
      <c r="H57" s="1569"/>
    </row>
    <row r="58" spans="1:12" s="96" customFormat="1" ht="13.9" customHeight="1">
      <c r="A58" s="1569" t="s">
        <v>381</v>
      </c>
      <c r="B58" s="1569"/>
      <c r="C58" s="1569"/>
      <c r="D58" s="1569"/>
      <c r="E58" s="1569"/>
      <c r="F58" s="1569"/>
      <c r="G58" s="1569"/>
      <c r="H58" s="1569"/>
    </row>
    <row r="59" spans="1:12" s="96" customFormat="1" ht="35.450000000000003" customHeight="1">
      <c r="A59" s="1569" t="s">
        <v>382</v>
      </c>
      <c r="B59" s="1569"/>
      <c r="C59" s="1569"/>
      <c r="D59" s="1569"/>
      <c r="E59" s="1569"/>
      <c r="F59" s="1569"/>
      <c r="G59" s="1569"/>
      <c r="H59" s="1569"/>
      <c r="I59" s="747" t="s">
        <v>1088</v>
      </c>
    </row>
    <row r="60" spans="1:12">
      <c r="A60" s="1566"/>
      <c r="B60" s="1566"/>
      <c r="C60" s="1566"/>
      <c r="D60" s="1566"/>
      <c r="E60" s="1566"/>
      <c r="F60" s="1566"/>
      <c r="G60" s="1566"/>
      <c r="H60" s="1566"/>
    </row>
    <row r="61" spans="1:12">
      <c r="A61" s="1566"/>
      <c r="B61" s="1566"/>
      <c r="C61" s="1566"/>
      <c r="D61" s="1566"/>
      <c r="E61" s="1566"/>
      <c r="F61" s="1566"/>
      <c r="G61" s="1566"/>
      <c r="H61" s="1566"/>
    </row>
    <row r="62" spans="1:12">
      <c r="A62" s="1566"/>
      <c r="B62" s="1566"/>
      <c r="C62" s="1566"/>
      <c r="D62" s="1566"/>
      <c r="E62" s="1566"/>
      <c r="F62" s="1566"/>
      <c r="G62" s="1566"/>
      <c r="H62" s="1566"/>
    </row>
    <row r="63" spans="1:12">
      <c r="A63" s="1566"/>
      <c r="B63" s="1566"/>
      <c r="C63" s="1566"/>
      <c r="D63" s="1566"/>
      <c r="E63" s="1566"/>
      <c r="F63" s="1566"/>
      <c r="G63" s="1566"/>
      <c r="H63" s="1566"/>
    </row>
    <row r="64" spans="1:12">
      <c r="A64" s="1566"/>
      <c r="B64" s="1566"/>
      <c r="C64" s="1566"/>
      <c r="D64" s="1566"/>
      <c r="E64" s="1566"/>
      <c r="F64" s="1566"/>
      <c r="G64" s="1566"/>
      <c r="H64" s="1566"/>
    </row>
    <row r="65" spans="1:8">
      <c r="A65" s="1566"/>
      <c r="B65" s="1566"/>
      <c r="C65" s="1566"/>
      <c r="D65" s="1566"/>
      <c r="E65" s="1566"/>
      <c r="F65" s="1566"/>
      <c r="G65" s="1566"/>
      <c r="H65" s="1566"/>
    </row>
    <row r="66" spans="1:8">
      <c r="A66" s="1566"/>
      <c r="B66" s="1566"/>
      <c r="C66" s="1566"/>
      <c r="D66" s="1566"/>
      <c r="E66" s="1566"/>
      <c r="F66" s="1566"/>
      <c r="G66" s="1566"/>
      <c r="H66" s="1566"/>
    </row>
  </sheetData>
  <mergeCells count="67">
    <mergeCell ref="B11:C11"/>
    <mergeCell ref="B1:H1"/>
    <mergeCell ref="A3:A5"/>
    <mergeCell ref="B3:C5"/>
    <mergeCell ref="D3:D5"/>
    <mergeCell ref="E3:E5"/>
    <mergeCell ref="F3:H3"/>
    <mergeCell ref="B6:C6"/>
    <mergeCell ref="B7:C7"/>
    <mergeCell ref="B8:C8"/>
    <mergeCell ref="B9:C9"/>
    <mergeCell ref="B10:C10"/>
    <mergeCell ref="B12:C12"/>
    <mergeCell ref="B13:C13"/>
    <mergeCell ref="B14:C14"/>
    <mergeCell ref="B15:C15"/>
    <mergeCell ref="B16:C16"/>
    <mergeCell ref="B17:C17"/>
    <mergeCell ref="B18:C18"/>
    <mergeCell ref="B19:C19"/>
    <mergeCell ref="B20:C20"/>
    <mergeCell ref="B21:C21"/>
    <mergeCell ref="B22:C22"/>
    <mergeCell ref="B24:C24"/>
    <mergeCell ref="B25:C25"/>
    <mergeCell ref="B26:C26"/>
    <mergeCell ref="D26:D29"/>
    <mergeCell ref="B23:C23"/>
    <mergeCell ref="E26:E29"/>
    <mergeCell ref="B29:C29"/>
    <mergeCell ref="D40:F40"/>
    <mergeCell ref="G40:H40"/>
    <mergeCell ref="B30:C30"/>
    <mergeCell ref="B31:C31"/>
    <mergeCell ref="D31:D34"/>
    <mergeCell ref="E31:E34"/>
    <mergeCell ref="B34:C34"/>
    <mergeCell ref="D36:E36"/>
    <mergeCell ref="F36:H36"/>
    <mergeCell ref="D37:E37"/>
    <mergeCell ref="F37:H37"/>
    <mergeCell ref="D39:F39"/>
    <mergeCell ref="G39:H39"/>
    <mergeCell ref="A57:H57"/>
    <mergeCell ref="A43:E43"/>
    <mergeCell ref="A44:E44"/>
    <mergeCell ref="A46:B46"/>
    <mergeCell ref="C46:E46"/>
    <mergeCell ref="A47:B47"/>
    <mergeCell ref="C47:E47"/>
    <mergeCell ref="A49:B49"/>
    <mergeCell ref="A50:H50"/>
    <mergeCell ref="A54:H54"/>
    <mergeCell ref="A55:H55"/>
    <mergeCell ref="A56:H56"/>
    <mergeCell ref="A51:H51"/>
    <mergeCell ref="A52:H52"/>
    <mergeCell ref="A53:H53"/>
    <mergeCell ref="A64:H64"/>
    <mergeCell ref="A65:H65"/>
    <mergeCell ref="A66:H66"/>
    <mergeCell ref="A58:H58"/>
    <mergeCell ref="A59:H59"/>
    <mergeCell ref="A60:H60"/>
    <mergeCell ref="A61:H61"/>
    <mergeCell ref="A62:H62"/>
    <mergeCell ref="A63:H63"/>
  </mergeCells>
  <pageMargins left="0.31496062992125984" right="0.31496062992125984" top="0.74803149606299213" bottom="0.35433070866141736" header="0.31496062992125984" footer="0.31496062992125984"/>
  <pageSetup paperSize="9" scale="56" orientation="landscape" r:id="rId1"/>
  <rowBreaks count="1" manualBreakCount="1">
    <brk id="34" max="7" man="1"/>
  </rowBreaks>
</worksheet>
</file>

<file path=xl/worksheets/sheet6.xml><?xml version="1.0" encoding="utf-8"?>
<worksheet xmlns="http://schemas.openxmlformats.org/spreadsheetml/2006/main" xmlns:r="http://schemas.openxmlformats.org/officeDocument/2006/relationships">
  <sheetPr codeName="Лист6">
    <tabColor theme="8" tint="0.59999389629810485"/>
  </sheetPr>
  <dimension ref="A1:BF135"/>
  <sheetViews>
    <sheetView view="pageBreakPreview" topLeftCell="A57" zoomScale="70" zoomScaleNormal="100" zoomScaleSheetLayoutView="70" workbookViewId="0">
      <selection activeCell="D89" sqref="D89:F89"/>
    </sheetView>
  </sheetViews>
  <sheetFormatPr defaultColWidth="8.85546875" defaultRowHeight="12.75"/>
  <cols>
    <col min="1" max="1" width="18.5703125" style="119" customWidth="1"/>
    <col min="2" max="2" width="4.85546875" style="119" customWidth="1"/>
    <col min="3" max="3" width="69.42578125" style="119" customWidth="1"/>
    <col min="4" max="12" width="12.7109375" style="195" customWidth="1"/>
    <col min="36" max="37" width="8.85546875" style="889"/>
    <col min="38" max="38" width="8.85546875" style="1048"/>
    <col min="39" max="42" width="8.85546875" style="119"/>
    <col min="43" max="43" width="17.5703125" style="119" customWidth="1"/>
    <col min="44" max="49" width="8.85546875" style="119"/>
    <col min="50" max="50" width="30.42578125" style="119" customWidth="1"/>
    <col min="51" max="16384" width="8.85546875" style="119"/>
  </cols>
  <sheetData>
    <row r="1" spans="1:52" ht="15.75">
      <c r="I1" s="136"/>
      <c r="J1" s="136"/>
      <c r="K1" s="136"/>
      <c r="L1" s="340" t="s">
        <v>421</v>
      </c>
      <c r="AJ1" s="132"/>
      <c r="AK1" s="132"/>
    </row>
    <row r="2" spans="1:52" ht="15.75">
      <c r="I2" s="136"/>
      <c r="J2" s="136"/>
      <c r="K2" s="136"/>
      <c r="L2" s="340" t="s">
        <v>422</v>
      </c>
      <c r="AJ2" s="132"/>
      <c r="AK2" s="132"/>
      <c r="AN2" s="136" t="s">
        <v>598</v>
      </c>
    </row>
    <row r="3" spans="1:52" ht="15.75">
      <c r="I3" s="136"/>
      <c r="J3" s="136"/>
      <c r="K3" s="136"/>
      <c r="L3" s="340" t="s">
        <v>423</v>
      </c>
      <c r="AJ3" s="132"/>
      <c r="AK3" s="132"/>
    </row>
    <row r="4" spans="1:52" ht="15.75">
      <c r="I4" s="136"/>
      <c r="J4" s="136"/>
      <c r="K4" s="136"/>
      <c r="L4" s="340" t="s">
        <v>424</v>
      </c>
      <c r="AJ4" s="132"/>
      <c r="AK4" s="132"/>
    </row>
    <row r="5" spans="1:52" ht="15.75">
      <c r="I5" s="136"/>
      <c r="J5" s="136"/>
      <c r="K5" s="136"/>
      <c r="L5" s="340" t="s">
        <v>425</v>
      </c>
      <c r="AJ5" s="132"/>
      <c r="AK5" s="132"/>
      <c r="AN5" s="119" t="s">
        <v>599</v>
      </c>
      <c r="AP5" s="119" t="s">
        <v>763</v>
      </c>
      <c r="AQ5" s="137">
        <f>'2'!F10+'2'!F13+'2'!F19+'2'!F23+'2'!F29+'2'!F31+'2'!F35</f>
        <v>188400006.46000001</v>
      </c>
    </row>
    <row r="6" spans="1:52">
      <c r="AJ6" s="132"/>
      <c r="AK6" s="132"/>
      <c r="AP6" s="119" t="s">
        <v>888</v>
      </c>
      <c r="AQ6" s="137">
        <f>'2'!G10+'2'!G13+'2'!G19+'2'!G23+'2'!G29+'2'!G31+'2'!G35</f>
        <v>183902187.06</v>
      </c>
    </row>
    <row r="7" spans="1:52" ht="20.25">
      <c r="A7" s="1703" t="s">
        <v>426</v>
      </c>
      <c r="B7" s="1703"/>
      <c r="C7" s="1703"/>
      <c r="D7" s="1703"/>
      <c r="E7" s="1703"/>
      <c r="F7" s="1703"/>
      <c r="G7" s="1703"/>
      <c r="H7" s="1703"/>
      <c r="I7" s="1703"/>
      <c r="J7" s="1703"/>
      <c r="K7" s="1703"/>
      <c r="L7" s="1703"/>
      <c r="AJ7" s="132"/>
      <c r="AK7" s="132"/>
      <c r="AP7" s="119" t="s">
        <v>1081</v>
      </c>
      <c r="AQ7" s="137">
        <f>'2'!H10+'2'!H13+'2'!H19+'2'!H23+'2'!H29+'2'!H31+'2'!H35</f>
        <v>183855887.06</v>
      </c>
    </row>
    <row r="8" spans="1:52" ht="20.25">
      <c r="A8" s="1703" t="s">
        <v>427</v>
      </c>
      <c r="B8" s="1703"/>
      <c r="C8" s="1703"/>
      <c r="D8" s="1703"/>
      <c r="E8" s="1703"/>
      <c r="F8" s="1703"/>
      <c r="G8" s="1703"/>
      <c r="H8" s="1703"/>
      <c r="I8" s="1703"/>
      <c r="J8" s="1703"/>
      <c r="K8" s="1703"/>
      <c r="L8" s="1703"/>
      <c r="AJ8" s="132"/>
      <c r="AK8" s="132"/>
    </row>
    <row r="9" spans="1:52" ht="20.25">
      <c r="A9" s="1703" t="s">
        <v>1120</v>
      </c>
      <c r="B9" s="1703"/>
      <c r="C9" s="1703"/>
      <c r="D9" s="1703"/>
      <c r="E9" s="1703"/>
      <c r="F9" s="1703"/>
      <c r="G9" s="1703"/>
      <c r="H9" s="1703"/>
      <c r="I9" s="1703"/>
      <c r="J9" s="1703"/>
      <c r="K9" s="1703"/>
      <c r="L9" s="1703"/>
      <c r="AJ9" s="132"/>
      <c r="AK9" s="132"/>
    </row>
    <row r="10" spans="1:52" ht="12" customHeight="1">
      <c r="A10" s="120"/>
      <c r="AJ10" s="132"/>
      <c r="AK10" s="132"/>
      <c r="AN10" s="119" t="s">
        <v>600</v>
      </c>
      <c r="AP10" s="119" t="s">
        <v>763</v>
      </c>
      <c r="AQ10" s="137">
        <f>J21+D39+D78+D102+D113+J125+J135</f>
        <v>188400006.46000001</v>
      </c>
    </row>
    <row r="11" spans="1:52" ht="12" hidden="1" customHeight="1">
      <c r="AJ11" s="132"/>
      <c r="AK11" s="132"/>
      <c r="AP11" s="119" t="s">
        <v>888</v>
      </c>
      <c r="AQ11" s="137">
        <f>K21+G39+G78+G102+G113+K125+K135</f>
        <v>183902187.06</v>
      </c>
    </row>
    <row r="12" spans="1:52" s="195" customFormat="1" ht="12" hidden="1" customHeight="1">
      <c r="AJ12" s="132"/>
      <c r="AK12" s="132"/>
      <c r="AL12" s="1048"/>
      <c r="AQ12" s="137"/>
    </row>
    <row r="13" spans="1:52" ht="27.75" customHeight="1">
      <c r="A13" s="1643" t="s">
        <v>428</v>
      </c>
      <c r="B13" s="1643"/>
      <c r="C13" s="1643"/>
      <c r="D13" s="1643"/>
      <c r="E13" s="1643"/>
      <c r="F13" s="1643"/>
      <c r="G13" s="1643"/>
      <c r="H13" s="1643"/>
      <c r="I13" s="1643"/>
      <c r="J13" s="1643"/>
      <c r="K13" s="1643"/>
      <c r="L13" s="1643"/>
      <c r="AJ13" s="132"/>
      <c r="AK13" s="132"/>
      <c r="AP13" s="119" t="s">
        <v>1081</v>
      </c>
      <c r="AQ13" s="137">
        <f>L21+J39+J78+J102+J113+L125+L135</f>
        <v>183855887.06</v>
      </c>
    </row>
    <row r="14" spans="1:52" ht="12" customHeight="1">
      <c r="AJ14" s="132"/>
      <c r="AK14" s="132"/>
    </row>
    <row r="15" spans="1:52" ht="51.75" customHeight="1">
      <c r="A15" s="1687" t="s">
        <v>429</v>
      </c>
      <c r="B15" s="1651" t="s">
        <v>430</v>
      </c>
      <c r="C15" s="1685" t="s">
        <v>0</v>
      </c>
      <c r="D15" s="1699" t="s">
        <v>431</v>
      </c>
      <c r="E15" s="1700"/>
      <c r="F15" s="1701"/>
      <c r="G15" s="1699" t="s">
        <v>432</v>
      </c>
      <c r="H15" s="1700"/>
      <c r="I15" s="1701"/>
      <c r="J15" s="1702" t="s">
        <v>433</v>
      </c>
      <c r="K15" s="1700"/>
      <c r="L15" s="1701"/>
      <c r="AJ15" s="132"/>
      <c r="AK15" s="132"/>
      <c r="AN15" s="138" t="s">
        <v>601</v>
      </c>
      <c r="AP15" s="138" t="s">
        <v>763</v>
      </c>
      <c r="AQ15" s="139">
        <f>AQ5-AQ10</f>
        <v>0</v>
      </c>
      <c r="AR15" s="1689" t="s">
        <v>602</v>
      </c>
      <c r="AS15" s="1690"/>
      <c r="AW15" s="137">
        <f t="shared" ref="AW15:AW35" si="0">SUM(AX15:BL15)</f>
        <v>0</v>
      </c>
      <c r="AX15" s="137">
        <f>SUM(D18:F20)-SUBTOTAL(109,D18:F20)</f>
        <v>0</v>
      </c>
      <c r="AY15" s="137">
        <f>SUM(G18:I20)-SUBTOTAL(109,G18:I20)</f>
        <v>0</v>
      </c>
      <c r="AZ15" s="137">
        <f>SUM(J18:L20)-SUBTOTAL(109,J18:L20)</f>
        <v>0</v>
      </c>
    </row>
    <row r="16" spans="1:52" ht="51">
      <c r="A16" s="1688"/>
      <c r="B16" s="1684"/>
      <c r="C16" s="1686"/>
      <c r="D16" s="326" t="s">
        <v>1117</v>
      </c>
      <c r="E16" s="1178" t="s">
        <v>1118</v>
      </c>
      <c r="F16" s="1179" t="s">
        <v>1119</v>
      </c>
      <c r="G16" s="326" t="s">
        <v>1117</v>
      </c>
      <c r="H16" s="1178" t="s">
        <v>1118</v>
      </c>
      <c r="I16" s="1179" t="s">
        <v>1119</v>
      </c>
      <c r="J16" s="327" t="s">
        <v>1117</v>
      </c>
      <c r="K16" s="1178" t="s">
        <v>1118</v>
      </c>
      <c r="L16" s="1179" t="s">
        <v>1119</v>
      </c>
      <c r="AJ16" s="132"/>
      <c r="AK16" s="132"/>
      <c r="AP16" s="138" t="s">
        <v>888</v>
      </c>
      <c r="AQ16" s="140">
        <f>AQ6-AQ11</f>
        <v>0</v>
      </c>
      <c r="AR16" s="1691"/>
      <c r="AS16" s="1692"/>
      <c r="AW16" s="137">
        <f t="shared" si="0"/>
        <v>0</v>
      </c>
    </row>
    <row r="17" spans="1:53" s="121" customFormat="1" ht="14.25">
      <c r="A17" s="193" t="s">
        <v>6</v>
      </c>
      <c r="B17" s="191" t="s">
        <v>7</v>
      </c>
      <c r="C17" s="192" t="s">
        <v>8</v>
      </c>
      <c r="D17" s="1173" t="s">
        <v>9</v>
      </c>
      <c r="E17" s="1171" t="s">
        <v>10</v>
      </c>
      <c r="F17" s="1172" t="s">
        <v>417</v>
      </c>
      <c r="G17" s="1173" t="s">
        <v>416</v>
      </c>
      <c r="H17" s="1171" t="s">
        <v>415</v>
      </c>
      <c r="I17" s="1172" t="s">
        <v>414</v>
      </c>
      <c r="J17" s="1170" t="s">
        <v>413</v>
      </c>
      <c r="K17" s="1171" t="s">
        <v>418</v>
      </c>
      <c r="L17" s="1172" t="s">
        <v>419</v>
      </c>
      <c r="AJ17" s="132"/>
      <c r="AK17" s="132"/>
      <c r="AL17" s="1048"/>
      <c r="AP17" s="138" t="s">
        <v>1081</v>
      </c>
      <c r="AQ17" s="141">
        <f>AQ7-AQ13</f>
        <v>0</v>
      </c>
      <c r="AR17" s="1693"/>
      <c r="AS17" s="1694"/>
      <c r="AW17" s="137">
        <f t="shared" si="0"/>
        <v>0</v>
      </c>
    </row>
    <row r="18" spans="1:53" ht="31.9" customHeight="1">
      <c r="A18" s="225" t="s">
        <v>29</v>
      </c>
      <c r="B18" s="254" t="s">
        <v>6</v>
      </c>
      <c r="C18" s="307" t="s">
        <v>434</v>
      </c>
      <c r="D18" s="1160" t="s">
        <v>412</v>
      </c>
      <c r="E18" s="1161" t="s">
        <v>412</v>
      </c>
      <c r="F18" s="1163" t="s">
        <v>412</v>
      </c>
      <c r="G18" s="1160" t="s">
        <v>412</v>
      </c>
      <c r="H18" s="1161" t="s">
        <v>412</v>
      </c>
      <c r="I18" s="1163" t="s">
        <v>412</v>
      </c>
      <c r="J18" s="1185"/>
      <c r="K18" s="1161"/>
      <c r="L18" s="1163"/>
      <c r="AJ18" s="132"/>
      <c r="AK18" s="132"/>
      <c r="AW18" s="137">
        <f t="shared" si="0"/>
        <v>0</v>
      </c>
    </row>
    <row r="19" spans="1:53" ht="27.75" customHeight="1">
      <c r="A19" s="218" t="s">
        <v>29</v>
      </c>
      <c r="B19" s="216" t="s">
        <v>142</v>
      </c>
      <c r="C19" s="238" t="s">
        <v>435</v>
      </c>
      <c r="D19" s="1154">
        <v>256.5</v>
      </c>
      <c r="E19" s="1155">
        <v>256.5</v>
      </c>
      <c r="F19" s="1169">
        <v>256.5</v>
      </c>
      <c r="G19" s="1154">
        <f>IFERROR(ROUND(J19/D19,2),0)</f>
        <v>0</v>
      </c>
      <c r="H19" s="1155">
        <f>IFERROR(ROUND(K19/E19,2),0)</f>
        <v>0</v>
      </c>
      <c r="I19" s="1158">
        <f>IFERROR(ROUND(L19/F19,2),0)</f>
        <v>0</v>
      </c>
      <c r="J19" s="1169">
        <f>SUMIFS(Титульный!O25:O47,Титульный!M25:M47,доходы!AJ19)</f>
        <v>0</v>
      </c>
      <c r="K19" s="1155">
        <f>SUMIFS(Титульный!P25:P47,Титульный!M25:M47,доходы!AJ19)</f>
        <v>0</v>
      </c>
      <c r="L19" s="1158">
        <f>SUMIFS(Титульный!Q25:Q47,Титульный!M25:M47,доходы!AJ19)</f>
        <v>0</v>
      </c>
      <c r="AJ19" s="132">
        <v>121</v>
      </c>
      <c r="AK19" s="132"/>
      <c r="AM19" s="119" t="s">
        <v>436</v>
      </c>
      <c r="AW19" s="137">
        <f t="shared" si="0"/>
        <v>0</v>
      </c>
    </row>
    <row r="20" spans="1:53" ht="27.75" customHeight="1">
      <c r="A20" s="243" t="s">
        <v>29</v>
      </c>
      <c r="B20" s="252" t="s">
        <v>144</v>
      </c>
      <c r="C20" s="232" t="s">
        <v>437</v>
      </c>
      <c r="D20" s="1156"/>
      <c r="E20" s="844"/>
      <c r="F20" s="1159"/>
      <c r="G20" s="1156"/>
      <c r="H20" s="1157"/>
      <c r="I20" s="1159"/>
      <c r="J20" s="1164">
        <v>0</v>
      </c>
      <c r="K20" s="1157">
        <v>0</v>
      </c>
      <c r="L20" s="1159">
        <v>0</v>
      </c>
      <c r="AJ20" s="132"/>
      <c r="AK20" s="132"/>
      <c r="AW20" s="137">
        <f t="shared" si="0"/>
        <v>0</v>
      </c>
    </row>
    <row r="21" spans="1:53" ht="27.75" customHeight="1">
      <c r="A21" s="223"/>
      <c r="B21" s="278"/>
      <c r="C21" s="311" t="s">
        <v>438</v>
      </c>
      <c r="D21" s="729" t="s">
        <v>412</v>
      </c>
      <c r="E21" s="1181" t="s">
        <v>412</v>
      </c>
      <c r="F21" s="1187" t="s">
        <v>412</v>
      </c>
      <c r="G21" s="729" t="s">
        <v>412</v>
      </c>
      <c r="H21" s="1181" t="s">
        <v>412</v>
      </c>
      <c r="I21" s="1187" t="s">
        <v>412</v>
      </c>
      <c r="J21" s="1180">
        <f>J18+J19+J20</f>
        <v>0</v>
      </c>
      <c r="K21" s="1180">
        <f>K18+K19+K20</f>
        <v>0</v>
      </c>
      <c r="L21" s="1180">
        <f>L18+L19+L20</f>
        <v>0</v>
      </c>
      <c r="AJ21" s="132"/>
      <c r="AK21" s="132"/>
      <c r="AW21" s="137">
        <f t="shared" si="0"/>
        <v>0</v>
      </c>
    </row>
    <row r="22" spans="1:53" ht="12" customHeight="1">
      <c r="A22" s="136"/>
      <c r="B22" s="136"/>
      <c r="AJ22" s="132"/>
      <c r="AK22" s="132"/>
      <c r="AW22" s="137">
        <f t="shared" si="0"/>
        <v>0</v>
      </c>
    </row>
    <row r="23" spans="1:53" s="195" customFormat="1" ht="12" hidden="1" customHeight="1">
      <c r="A23" s="136"/>
      <c r="B23" s="136"/>
      <c r="AJ23" s="132"/>
      <c r="AK23" s="132"/>
      <c r="AL23" s="1048"/>
      <c r="AW23" s="137">
        <f t="shared" si="0"/>
        <v>0</v>
      </c>
    </row>
    <row r="24" spans="1:53" s="195" customFormat="1" ht="12" hidden="1" customHeight="1">
      <c r="A24" s="136"/>
      <c r="B24" s="136"/>
      <c r="AJ24" s="132"/>
      <c r="AK24" s="132"/>
      <c r="AL24" s="1048"/>
      <c r="AW24" s="137">
        <f t="shared" si="0"/>
        <v>0</v>
      </c>
    </row>
    <row r="25" spans="1:53" ht="27.75" customHeight="1">
      <c r="A25" s="1643" t="s">
        <v>439</v>
      </c>
      <c r="B25" s="1643"/>
      <c r="C25" s="1643"/>
      <c r="D25" s="1643"/>
      <c r="E25" s="1643"/>
      <c r="F25" s="1643"/>
      <c r="G25" s="1643"/>
      <c r="H25" s="1643"/>
      <c r="I25" s="1643"/>
      <c r="J25" s="1643"/>
      <c r="K25" s="1643"/>
      <c r="L25" s="1643"/>
      <c r="AJ25" s="132"/>
      <c r="AK25" s="132"/>
      <c r="AW25" s="137">
        <f t="shared" si="0"/>
        <v>0</v>
      </c>
    </row>
    <row r="26" spans="1:53" ht="12" customHeight="1">
      <c r="AJ26" s="132"/>
      <c r="AK26" s="132"/>
      <c r="AW26" s="137">
        <f t="shared" si="0"/>
        <v>0</v>
      </c>
    </row>
    <row r="27" spans="1:53" ht="33" customHeight="1">
      <c r="A27" s="1687" t="s">
        <v>429</v>
      </c>
      <c r="B27" s="1651" t="s">
        <v>430</v>
      </c>
      <c r="C27" s="1696" t="s">
        <v>0</v>
      </c>
      <c r="D27" s="1658" t="s">
        <v>433</v>
      </c>
      <c r="E27" s="1659"/>
      <c r="F27" s="1659"/>
      <c r="G27" s="1659"/>
      <c r="H27" s="1659"/>
      <c r="I27" s="1659"/>
      <c r="J27" s="1659"/>
      <c r="K27" s="1659"/>
      <c r="L27" s="1660"/>
      <c r="AJ27" s="132"/>
      <c r="AK27" s="132"/>
      <c r="AW27" s="137">
        <f t="shared" si="0"/>
        <v>0</v>
      </c>
      <c r="AX27" s="137">
        <f>SUM(D30:F35)-SUBTOTAL(109,D30:F35)</f>
        <v>0</v>
      </c>
      <c r="AY27" s="137">
        <f>SUM(G30:I35)-SUBTOTAL(109,G30:I35)</f>
        <v>0</v>
      </c>
      <c r="AZ27" s="137">
        <f>SUM(J30:L35)-SUBTOTAL(109,J30:L35)</f>
        <v>0</v>
      </c>
      <c r="BA27" s="137"/>
    </row>
    <row r="28" spans="1:53" ht="34.5" customHeight="1">
      <c r="A28" s="1688"/>
      <c r="B28" s="1684"/>
      <c r="C28" s="1698"/>
      <c r="D28" s="1661" t="s">
        <v>1117</v>
      </c>
      <c r="E28" s="1662"/>
      <c r="F28" s="1662"/>
      <c r="G28" s="1663" t="s">
        <v>1118</v>
      </c>
      <c r="H28" s="1663"/>
      <c r="I28" s="1663"/>
      <c r="J28" s="1663" t="s">
        <v>1119</v>
      </c>
      <c r="K28" s="1663"/>
      <c r="L28" s="1664"/>
      <c r="AJ28" s="132"/>
      <c r="AK28" s="132"/>
      <c r="AW28" s="137">
        <f t="shared" si="0"/>
        <v>0</v>
      </c>
    </row>
    <row r="29" spans="1:53">
      <c r="A29" s="198" t="s">
        <v>6</v>
      </c>
      <c r="B29" s="196" t="s">
        <v>7</v>
      </c>
      <c r="C29" s="197" t="s">
        <v>8</v>
      </c>
      <c r="D29" s="1680">
        <v>4</v>
      </c>
      <c r="E29" s="1653"/>
      <c r="F29" s="1653"/>
      <c r="G29" s="1653">
        <v>5</v>
      </c>
      <c r="H29" s="1653"/>
      <c r="I29" s="1653"/>
      <c r="J29" s="1653">
        <v>6</v>
      </c>
      <c r="K29" s="1653"/>
      <c r="L29" s="1654"/>
      <c r="AJ29" s="132"/>
      <c r="AK29" s="132"/>
      <c r="AW29" s="137">
        <f t="shared" si="0"/>
        <v>0</v>
      </c>
    </row>
    <row r="30" spans="1:53" ht="31.5">
      <c r="A30" s="236" t="s">
        <v>34</v>
      </c>
      <c r="B30" s="241"/>
      <c r="C30" s="291" t="s">
        <v>440</v>
      </c>
      <c r="D30" s="1709">
        <f>SUMIFS(Титульный!O25:O47,Титульный!M25:M47,доходы!AJ30,Титульный!K25:K47,доходы!AK30)</f>
        <v>178040234.65000001</v>
      </c>
      <c r="E30" s="1704"/>
      <c r="F30" s="1704"/>
      <c r="G30" s="1704">
        <f>SUMIFS(Титульный!P25:P47,Титульный!M25:M47,доходы!AJ30,Титульный!K25:K47,доходы!AK30)</f>
        <v>179704807</v>
      </c>
      <c r="H30" s="1704"/>
      <c r="I30" s="1704"/>
      <c r="J30" s="1704">
        <f>SUMIFS(Титульный!Q25:Q47,Титульный!M25:M47,доходы!AJ30,Титульный!K25:K47,доходы!AK30)</f>
        <v>179658507</v>
      </c>
      <c r="K30" s="1704"/>
      <c r="L30" s="1708"/>
      <c r="AJ30" s="132">
        <v>131</v>
      </c>
      <c r="AK30" s="132">
        <v>4</v>
      </c>
      <c r="AM30" s="195" t="s">
        <v>275</v>
      </c>
      <c r="AW30" s="137">
        <f t="shared" si="0"/>
        <v>0</v>
      </c>
    </row>
    <row r="31" spans="1:53" ht="31.5">
      <c r="A31" s="218" t="s">
        <v>34</v>
      </c>
      <c r="B31" s="216"/>
      <c r="C31" s="270" t="s">
        <v>441</v>
      </c>
      <c r="D31" s="1710">
        <f>J52</f>
        <v>0</v>
      </c>
      <c r="E31" s="1638"/>
      <c r="F31" s="1638"/>
      <c r="G31" s="1638">
        <f>K52</f>
        <v>0</v>
      </c>
      <c r="H31" s="1638"/>
      <c r="I31" s="1638"/>
      <c r="J31" s="1638">
        <f>L52</f>
        <v>0</v>
      </c>
      <c r="K31" s="1638"/>
      <c r="L31" s="1641"/>
      <c r="AJ31" s="132"/>
      <c r="AK31" s="132"/>
      <c r="AM31" s="122" t="s">
        <v>828</v>
      </c>
      <c r="AW31" s="137">
        <f t="shared" si="0"/>
        <v>0</v>
      </c>
    </row>
    <row r="32" spans="1:53" ht="31.5">
      <c r="A32" s="218" t="s">
        <v>34</v>
      </c>
      <c r="B32" s="216"/>
      <c r="C32" s="270" t="s">
        <v>442</v>
      </c>
      <c r="D32" s="1710">
        <f>J67</f>
        <v>1000000</v>
      </c>
      <c r="E32" s="1638"/>
      <c r="F32" s="1638"/>
      <c r="G32" s="1638">
        <f>K67</f>
        <v>1000000</v>
      </c>
      <c r="H32" s="1638"/>
      <c r="I32" s="1638"/>
      <c r="J32" s="1638">
        <f>L67</f>
        <v>1000000</v>
      </c>
      <c r="K32" s="1638"/>
      <c r="L32" s="1641"/>
      <c r="AJ32" s="132">
        <v>131</v>
      </c>
      <c r="AK32" s="132">
        <v>2</v>
      </c>
      <c r="AL32" s="1048" t="s">
        <v>443</v>
      </c>
      <c r="AM32" s="195" t="s">
        <v>443</v>
      </c>
      <c r="AW32" s="137">
        <f t="shared" si="0"/>
        <v>0</v>
      </c>
    </row>
    <row r="33" spans="1:58" s="696" customFormat="1" ht="22.5" customHeight="1">
      <c r="A33" s="697" t="s">
        <v>34</v>
      </c>
      <c r="B33" s="685"/>
      <c r="C33" s="686" t="s">
        <v>826</v>
      </c>
      <c r="D33" s="1710">
        <f>SUMIFS(Титульный!O25:O47,Титульный!M25:M47,доходы!AJ33,Титульный!K25:K47,доходы!AK33)</f>
        <v>0</v>
      </c>
      <c r="E33" s="1638"/>
      <c r="F33" s="1638"/>
      <c r="G33" s="1638">
        <f>SUMIFS(Титульный!P25:P47,Титульный!M25:M47,доходы!AJ33,Титульный!K25:K47,доходы!AK33)</f>
        <v>0</v>
      </c>
      <c r="H33" s="1638"/>
      <c r="I33" s="1638"/>
      <c r="J33" s="1638">
        <f>SUMIFS(Титульный!Q25:Q47,Титульный!M25:M47,доходы!AJ33,Титульный!K25:K47,доходы!AK33)</f>
        <v>0</v>
      </c>
      <c r="K33" s="1638"/>
      <c r="L33" s="1641"/>
      <c r="AJ33" s="1046">
        <v>134</v>
      </c>
      <c r="AK33" s="1046">
        <v>2</v>
      </c>
      <c r="AL33" s="1049"/>
      <c r="AM33" s="698" t="s">
        <v>829</v>
      </c>
      <c r="AW33" s="137">
        <f t="shared" si="0"/>
        <v>0</v>
      </c>
    </row>
    <row r="34" spans="1:58" s="696" customFormat="1" ht="47.25">
      <c r="A34" s="699">
        <v>130</v>
      </c>
      <c r="B34" s="687"/>
      <c r="C34" s="688" t="s">
        <v>444</v>
      </c>
      <c r="D34" s="1711">
        <f>SUMIFS(Титульный!O25:O47,Титульный!M25:M47,доходы!AJ34,Титульный!K25:K47,доходы!AK34)</f>
        <v>700000</v>
      </c>
      <c r="E34" s="1705"/>
      <c r="F34" s="1705"/>
      <c r="G34" s="1705">
        <f>SUMIFS(Титульный!P25:P47,Титульный!M25:M47,доходы!AJ34,Титульный!K25:K47,доходы!AK34)</f>
        <v>700000</v>
      </c>
      <c r="H34" s="1705"/>
      <c r="I34" s="1705"/>
      <c r="J34" s="1705">
        <f>SUMIFS(Титульный!Q25:Q47,Титульный!M25:M47,доходы!AJ34,Титульный!K25:K47,доходы!AK34)</f>
        <v>700000</v>
      </c>
      <c r="K34" s="1705"/>
      <c r="L34" s="1712"/>
      <c r="AJ34" s="1046">
        <v>135</v>
      </c>
      <c r="AK34" s="1046">
        <v>2</v>
      </c>
      <c r="AL34" s="1049"/>
      <c r="AM34" s="698" t="s">
        <v>830</v>
      </c>
      <c r="AW34" s="137">
        <f t="shared" si="0"/>
        <v>0</v>
      </c>
    </row>
    <row r="35" spans="1:58" s="696" customFormat="1" ht="31.5">
      <c r="A35" s="697" t="s">
        <v>34</v>
      </c>
      <c r="B35" s="685"/>
      <c r="C35" s="686" t="s">
        <v>827</v>
      </c>
      <c r="D35" s="1710">
        <f>SUMIFS(Титульный!O25:O47,Титульный!M25:M47,доходы!AJ35,Титульный!K25:K47,доходы!AK35)</f>
        <v>0</v>
      </c>
      <c r="E35" s="1638"/>
      <c r="F35" s="1638"/>
      <c r="G35" s="1638">
        <f>SUMIFS(Титульный!P25:P47,Титульный!M25:M47,доходы!AJ35,Титульный!K25:K47,доходы!AK35)</f>
        <v>0</v>
      </c>
      <c r="H35" s="1638"/>
      <c r="I35" s="1638"/>
      <c r="J35" s="1638">
        <f>SUMIFS(Титульный!Q25:Q47,Титульный!M25:M47,доходы!AJ35,Титульный!K25:K47,доходы!AK35)</f>
        <v>0</v>
      </c>
      <c r="K35" s="1638"/>
      <c r="L35" s="1641"/>
      <c r="AJ35" s="1046">
        <v>139</v>
      </c>
      <c r="AK35" s="1046">
        <v>2</v>
      </c>
      <c r="AL35" s="1049"/>
      <c r="AM35" s="698" t="s">
        <v>831</v>
      </c>
      <c r="AW35" s="137">
        <f t="shared" si="0"/>
        <v>0</v>
      </c>
      <c r="AX35" s="700"/>
      <c r="BA35" s="700"/>
      <c r="BD35" s="700"/>
    </row>
    <row r="36" spans="1:58" s="696" customFormat="1" ht="15.75">
      <c r="A36" s="697" t="s">
        <v>34</v>
      </c>
      <c r="B36" s="685"/>
      <c r="C36" s="686" t="s">
        <v>1004</v>
      </c>
      <c r="D36" s="1710">
        <f>SUMIFS(Титульный!O25:O47,Титульный!M25:M47,доходы!AJ36,Титульный!R25:R47,доходы!AL36)</f>
        <v>0</v>
      </c>
      <c r="E36" s="1638"/>
      <c r="F36" s="1638"/>
      <c r="G36" s="1638">
        <f>SUMIFS(Титульный!P25:P47,Титульный!M25:M47,доходы!AJ36,Титульный!R25:R47,доходы!AL36)</f>
        <v>0</v>
      </c>
      <c r="H36" s="1638"/>
      <c r="I36" s="1638"/>
      <c r="J36" s="1638">
        <f>SUMIFS(Титульный!Q25:Q47,Титульный!M25:M47,доходы!AJ36,Титульный!R25:R47,доходы!AL36)</f>
        <v>0</v>
      </c>
      <c r="K36" s="1638"/>
      <c r="L36" s="1641"/>
      <c r="AJ36" s="1046">
        <v>131</v>
      </c>
      <c r="AK36" s="1046">
        <v>2</v>
      </c>
      <c r="AL36" s="1049" t="s">
        <v>1004</v>
      </c>
      <c r="AM36" s="698"/>
      <c r="AW36" s="137"/>
      <c r="AX36" s="700"/>
      <c r="BA36" s="700"/>
      <c r="BD36" s="700"/>
    </row>
    <row r="37" spans="1:58" s="696" customFormat="1" ht="15.75">
      <c r="A37" s="697" t="s">
        <v>34</v>
      </c>
      <c r="B37" s="685"/>
      <c r="C37" s="686" t="s">
        <v>1005</v>
      </c>
      <c r="D37" s="1710">
        <f>SUMIFS(Титульный!O25:O47,Титульный!M25:M47,доходы!AJ37,Титульный!R25:R47,доходы!AL37)</f>
        <v>0</v>
      </c>
      <c r="E37" s="1638"/>
      <c r="F37" s="1638"/>
      <c r="G37" s="1638">
        <f>SUMIFS(Титульный!P25:P47,Титульный!M25:M47,доходы!AJ37,Титульный!R25:R47,доходы!AL37)</f>
        <v>0</v>
      </c>
      <c r="H37" s="1638"/>
      <c r="I37" s="1638"/>
      <c r="J37" s="1638">
        <f>SUMIFS(Титульный!Q25:Q47,Титульный!M25:M47,доходы!AJ37,Титульный!R25:R47,доходы!AL37)</f>
        <v>0</v>
      </c>
      <c r="K37" s="1638"/>
      <c r="L37" s="1641"/>
      <c r="AJ37" s="1046">
        <v>131</v>
      </c>
      <c r="AK37" s="1046">
        <v>2</v>
      </c>
      <c r="AL37" s="1049" t="s">
        <v>1005</v>
      </c>
      <c r="AM37" s="698"/>
      <c r="AW37" s="137"/>
      <c r="AX37" s="700"/>
      <c r="BA37" s="700"/>
      <c r="BD37" s="700"/>
    </row>
    <row r="38" spans="1:58" s="696" customFormat="1" ht="15.75">
      <c r="A38" s="697" t="s">
        <v>34</v>
      </c>
      <c r="B38" s="685"/>
      <c r="C38" s="686" t="s">
        <v>1009</v>
      </c>
      <c r="D38" s="1710">
        <f>SUMIFS(Титульный!O25:O47,Титульный!M25:M47,доходы!AJ38,Титульный!R25:R47,доходы!AL38)</f>
        <v>0</v>
      </c>
      <c r="E38" s="1638"/>
      <c r="F38" s="1638"/>
      <c r="G38" s="1638">
        <f>SUMIFS(Титульный!P25:P47,Титульный!M25:M47,доходы!AJ38,Титульный!R25:R47,доходы!AL38)</f>
        <v>0</v>
      </c>
      <c r="H38" s="1638"/>
      <c r="I38" s="1638"/>
      <c r="J38" s="1638">
        <f>SUMIFS(Титульный!Q25:Q47,Титульный!M25:M47,доходы!AJ38,Титульный!R25:R47,доходы!AL38)</f>
        <v>0</v>
      </c>
      <c r="K38" s="1638"/>
      <c r="L38" s="1641"/>
      <c r="AJ38" s="1046">
        <v>131</v>
      </c>
      <c r="AK38" s="1046">
        <v>2</v>
      </c>
      <c r="AL38" s="1049" t="s">
        <v>1009</v>
      </c>
      <c r="AM38" s="698"/>
      <c r="AW38" s="137"/>
      <c r="AX38" s="700"/>
      <c r="BA38" s="700"/>
      <c r="BD38" s="700"/>
    </row>
    <row r="39" spans="1:58" ht="27.75" customHeight="1">
      <c r="A39" s="318"/>
      <c r="B39" s="319"/>
      <c r="C39" s="212" t="s">
        <v>438</v>
      </c>
      <c r="D39" s="1668">
        <f>SUM(D30:F38)</f>
        <v>179740234.65000001</v>
      </c>
      <c r="E39" s="1667"/>
      <c r="F39" s="1667"/>
      <c r="G39" s="1706">
        <f>SUM(G30:I38)</f>
        <v>181404807</v>
      </c>
      <c r="H39" s="1707"/>
      <c r="I39" s="1668"/>
      <c r="J39" s="1706">
        <f>SUM(J30:L38)</f>
        <v>181358507</v>
      </c>
      <c r="K39" s="1707"/>
      <c r="L39" s="1721"/>
      <c r="AW39" s="137">
        <f t="shared" ref="AW39:AW70" si="1">SUM(AX39:BL39)</f>
        <v>0</v>
      </c>
    </row>
    <row r="40" spans="1:58" ht="12" customHeight="1">
      <c r="AW40" s="137">
        <f t="shared" si="1"/>
        <v>0</v>
      </c>
    </row>
    <row r="41" spans="1:58" s="195" customFormat="1" ht="12" hidden="1" customHeight="1">
      <c r="AJ41" s="889"/>
      <c r="AK41" s="889"/>
      <c r="AL41" s="1048"/>
      <c r="AW41" s="137">
        <f t="shared" si="1"/>
        <v>0</v>
      </c>
    </row>
    <row r="42" spans="1:58" s="195" customFormat="1" ht="12" hidden="1" customHeight="1">
      <c r="AJ42" s="889"/>
      <c r="AK42" s="889"/>
      <c r="AL42" s="1048"/>
      <c r="AW42" s="137">
        <f t="shared" si="1"/>
        <v>0</v>
      </c>
    </row>
    <row r="43" spans="1:58" ht="27.75" customHeight="1">
      <c r="A43" s="1716" t="s">
        <v>731</v>
      </c>
      <c r="B43" s="1716"/>
      <c r="C43" s="1716"/>
      <c r="D43" s="1716"/>
      <c r="E43" s="1716"/>
      <c r="F43" s="1716"/>
      <c r="G43" s="1716"/>
      <c r="H43" s="1716"/>
      <c r="I43" s="1716"/>
      <c r="J43" s="1716"/>
      <c r="K43" s="1716"/>
      <c r="L43" s="1716"/>
      <c r="AW43" s="137">
        <f t="shared" si="1"/>
        <v>0</v>
      </c>
    </row>
    <row r="44" spans="1:58" ht="12" customHeight="1">
      <c r="AW44" s="137">
        <f t="shared" si="1"/>
        <v>0</v>
      </c>
    </row>
    <row r="45" spans="1:58" ht="51.75" customHeight="1">
      <c r="A45" s="1687" t="s">
        <v>429</v>
      </c>
      <c r="B45" s="1651" t="s">
        <v>430</v>
      </c>
      <c r="C45" s="1685" t="s">
        <v>445</v>
      </c>
      <c r="D45" s="1699" t="s">
        <v>446</v>
      </c>
      <c r="E45" s="1700"/>
      <c r="F45" s="1701"/>
      <c r="G45" s="1699" t="s">
        <v>447</v>
      </c>
      <c r="H45" s="1700"/>
      <c r="I45" s="1701"/>
      <c r="J45" s="1702" t="s">
        <v>433</v>
      </c>
      <c r="K45" s="1700"/>
      <c r="L45" s="1701"/>
      <c r="AM45" s="119" t="s">
        <v>448</v>
      </c>
      <c r="AW45" s="137">
        <f t="shared" si="1"/>
        <v>0</v>
      </c>
      <c r="AX45" s="700">
        <f t="shared" ref="AX45:BF45" si="2">SUM(D48:D51)-SUBTOTAL(109,D48:D51)</f>
        <v>0</v>
      </c>
      <c r="AY45" s="700">
        <f t="shared" si="2"/>
        <v>0</v>
      </c>
      <c r="AZ45" s="700">
        <f t="shared" si="2"/>
        <v>0</v>
      </c>
      <c r="BA45" s="700">
        <f t="shared" si="2"/>
        <v>0</v>
      </c>
      <c r="BB45" s="700">
        <f t="shared" si="2"/>
        <v>0</v>
      </c>
      <c r="BC45" s="700">
        <f t="shared" si="2"/>
        <v>0</v>
      </c>
      <c r="BD45" s="700">
        <f t="shared" si="2"/>
        <v>0</v>
      </c>
      <c r="BE45" s="700">
        <f t="shared" si="2"/>
        <v>0</v>
      </c>
      <c r="BF45" s="700">
        <f t="shared" si="2"/>
        <v>0</v>
      </c>
    </row>
    <row r="46" spans="1:58" ht="51">
      <c r="A46" s="1688"/>
      <c r="B46" s="1684"/>
      <c r="C46" s="1686"/>
      <c r="D46" s="333" t="s">
        <v>1117</v>
      </c>
      <c r="E46" s="156" t="s">
        <v>1118</v>
      </c>
      <c r="F46" s="150" t="s">
        <v>1119</v>
      </c>
      <c r="G46" s="333" t="s">
        <v>1117</v>
      </c>
      <c r="H46" s="156" t="s">
        <v>1118</v>
      </c>
      <c r="I46" s="150" t="s">
        <v>1119</v>
      </c>
      <c r="J46" s="334" t="s">
        <v>1117</v>
      </c>
      <c r="K46" s="156" t="s">
        <v>1118</v>
      </c>
      <c r="L46" s="150" t="s">
        <v>1119</v>
      </c>
      <c r="AW46" s="137">
        <f t="shared" si="1"/>
        <v>0</v>
      </c>
    </row>
    <row r="47" spans="1:58" ht="41.25" customHeight="1">
      <c r="A47" s="328" t="s">
        <v>6</v>
      </c>
      <c r="B47" s="329" t="s">
        <v>7</v>
      </c>
      <c r="C47" s="330" t="s">
        <v>8</v>
      </c>
      <c r="D47" s="335" t="s">
        <v>9</v>
      </c>
      <c r="E47" s="336" t="s">
        <v>10</v>
      </c>
      <c r="F47" s="337" t="s">
        <v>417</v>
      </c>
      <c r="G47" s="335" t="s">
        <v>416</v>
      </c>
      <c r="H47" s="253" t="s">
        <v>415</v>
      </c>
      <c r="I47" s="338" t="s">
        <v>414</v>
      </c>
      <c r="J47" s="339" t="s">
        <v>413</v>
      </c>
      <c r="K47" s="253" t="s">
        <v>418</v>
      </c>
      <c r="L47" s="338" t="s">
        <v>419</v>
      </c>
      <c r="AK47" s="1722" t="s">
        <v>606</v>
      </c>
      <c r="AL47" s="1722"/>
      <c r="AM47" s="1722"/>
      <c r="AN47" s="1722"/>
      <c r="AO47" s="1722"/>
      <c r="AP47" s="1722"/>
      <c r="AQ47" s="1722"/>
      <c r="AW47" s="137">
        <f t="shared" si="1"/>
        <v>0</v>
      </c>
    </row>
    <row r="48" spans="1:58" s="122" customFormat="1" ht="27.75" customHeight="1">
      <c r="A48" s="225">
        <v>130</v>
      </c>
      <c r="B48" s="254" t="s">
        <v>6</v>
      </c>
      <c r="C48" s="307" t="s">
        <v>449</v>
      </c>
      <c r="D48" s="350"/>
      <c r="E48" s="1165"/>
      <c r="F48" s="1167"/>
      <c r="G48" s="350"/>
      <c r="H48" s="1165"/>
      <c r="I48" s="1167"/>
      <c r="J48" s="1168"/>
      <c r="K48" s="1165"/>
      <c r="L48" s="1167"/>
      <c r="AJ48" s="889"/>
      <c r="AK48" s="1722"/>
      <c r="AL48" s="1722"/>
      <c r="AM48" s="1722"/>
      <c r="AN48" s="1722"/>
      <c r="AO48" s="1722"/>
      <c r="AP48" s="1722"/>
      <c r="AQ48" s="1722"/>
      <c r="AW48" s="137">
        <f t="shared" si="1"/>
        <v>0</v>
      </c>
    </row>
    <row r="49" spans="1:58" s="122" customFormat="1" ht="27.75" customHeight="1">
      <c r="A49" s="218">
        <v>130</v>
      </c>
      <c r="B49" s="216" t="s">
        <v>7</v>
      </c>
      <c r="C49" s="308" t="s">
        <v>450</v>
      </c>
      <c r="D49" s="1154"/>
      <c r="E49" s="1155"/>
      <c r="F49" s="1158"/>
      <c r="G49" s="1154"/>
      <c r="H49" s="1155"/>
      <c r="I49" s="1158"/>
      <c r="J49" s="1169"/>
      <c r="K49" s="1155"/>
      <c r="L49" s="1158"/>
      <c r="AJ49" s="889"/>
      <c r="AK49" s="1722"/>
      <c r="AL49" s="1722"/>
      <c r="AM49" s="1722"/>
      <c r="AN49" s="1722"/>
      <c r="AO49" s="1722"/>
      <c r="AP49" s="1722"/>
      <c r="AQ49" s="1722"/>
      <c r="AW49" s="137">
        <f t="shared" si="1"/>
        <v>0</v>
      </c>
    </row>
    <row r="50" spans="1:58" s="122" customFormat="1" ht="27.75" customHeight="1">
      <c r="A50" s="218">
        <v>130</v>
      </c>
      <c r="B50" s="216" t="s">
        <v>8</v>
      </c>
      <c r="C50" s="308" t="s">
        <v>451</v>
      </c>
      <c r="D50" s="1154"/>
      <c r="E50" s="1155"/>
      <c r="F50" s="1158"/>
      <c r="G50" s="1154"/>
      <c r="H50" s="1155"/>
      <c r="I50" s="1158"/>
      <c r="J50" s="1169"/>
      <c r="K50" s="1155"/>
      <c r="L50" s="1158"/>
      <c r="AJ50" s="889"/>
      <c r="AK50" s="1722"/>
      <c r="AL50" s="1722"/>
      <c r="AM50" s="1722"/>
      <c r="AN50" s="1722"/>
      <c r="AO50" s="1722"/>
      <c r="AP50" s="1722"/>
      <c r="AQ50" s="1722"/>
      <c r="AW50" s="137">
        <f t="shared" si="1"/>
        <v>0</v>
      </c>
    </row>
    <row r="51" spans="1:58" s="122" customFormat="1" ht="27.75" customHeight="1">
      <c r="A51" s="243"/>
      <c r="B51" s="252"/>
      <c r="C51" s="232"/>
      <c r="D51" s="1184"/>
      <c r="E51" s="1182"/>
      <c r="F51" s="1183"/>
      <c r="G51" s="1184"/>
      <c r="H51" s="1182"/>
      <c r="I51" s="1183"/>
      <c r="J51" s="1186"/>
      <c r="K51" s="1182"/>
      <c r="L51" s="1183"/>
      <c r="AJ51" s="889"/>
      <c r="AK51" s="1722"/>
      <c r="AL51" s="1722"/>
      <c r="AM51" s="1722"/>
      <c r="AN51" s="1722"/>
      <c r="AO51" s="1722"/>
      <c r="AP51" s="1722"/>
      <c r="AQ51" s="1722"/>
      <c r="AW51" s="137">
        <f t="shared" si="1"/>
        <v>0</v>
      </c>
    </row>
    <row r="52" spans="1:58" s="122" customFormat="1" ht="27.75" customHeight="1">
      <c r="A52" s="223"/>
      <c r="B52" s="264"/>
      <c r="C52" s="311" t="s">
        <v>438</v>
      </c>
      <c r="D52" s="1188" t="s">
        <v>412</v>
      </c>
      <c r="E52" s="1176" t="s">
        <v>412</v>
      </c>
      <c r="F52" s="1177" t="s">
        <v>412</v>
      </c>
      <c r="G52" s="1188" t="s">
        <v>412</v>
      </c>
      <c r="H52" s="1176" t="s">
        <v>412</v>
      </c>
      <c r="I52" s="1177" t="s">
        <v>412</v>
      </c>
      <c r="J52" s="1166">
        <f>SUM(J48:J51)</f>
        <v>0</v>
      </c>
      <c r="K52" s="1176">
        <f>SUM(K48:K51)</f>
        <v>0</v>
      </c>
      <c r="L52" s="1177">
        <f>SUM(L48:L51)</f>
        <v>0</v>
      </c>
      <c r="AJ52" s="132"/>
      <c r="AK52" s="132"/>
      <c r="AL52" s="1048"/>
      <c r="AW52" s="137">
        <f t="shared" si="1"/>
        <v>0</v>
      </c>
    </row>
    <row r="53" spans="1:58" ht="12" customHeight="1">
      <c r="A53" s="124"/>
      <c r="B53" s="125"/>
      <c r="C53" s="124"/>
      <c r="D53" s="124"/>
      <c r="E53" s="124"/>
      <c r="F53" s="124"/>
      <c r="G53" s="124"/>
      <c r="H53" s="124"/>
      <c r="I53" s="124"/>
      <c r="J53" s="124"/>
      <c r="K53" s="124"/>
      <c r="L53" s="124"/>
      <c r="AJ53" s="132"/>
      <c r="AK53" s="132"/>
      <c r="AW53" s="137">
        <f t="shared" si="1"/>
        <v>0</v>
      </c>
    </row>
    <row r="54" spans="1:58" s="195" customFormat="1" ht="12" hidden="1" customHeight="1">
      <c r="A54" s="124"/>
      <c r="B54" s="125"/>
      <c r="C54" s="124"/>
      <c r="D54" s="124"/>
      <c r="E54" s="124"/>
      <c r="F54" s="124"/>
      <c r="G54" s="124"/>
      <c r="H54" s="124"/>
      <c r="I54" s="124"/>
      <c r="J54" s="124"/>
      <c r="K54" s="124"/>
      <c r="L54" s="124"/>
      <c r="AJ54" s="132"/>
      <c r="AK54" s="132"/>
      <c r="AL54" s="1048"/>
      <c r="AW54" s="137">
        <f t="shared" si="1"/>
        <v>0</v>
      </c>
    </row>
    <row r="55" spans="1:58" s="195" customFormat="1" ht="12" hidden="1" customHeight="1">
      <c r="A55" s="124"/>
      <c r="B55" s="125"/>
      <c r="C55" s="124"/>
      <c r="D55" s="124"/>
      <c r="E55" s="124"/>
      <c r="F55" s="124"/>
      <c r="G55" s="124"/>
      <c r="H55" s="124"/>
      <c r="I55" s="124"/>
      <c r="J55" s="124"/>
      <c r="K55" s="124"/>
      <c r="L55" s="124"/>
      <c r="AJ55" s="132"/>
      <c r="AK55" s="132"/>
      <c r="AL55" s="1048"/>
      <c r="AW55" s="137">
        <f t="shared" si="1"/>
        <v>0</v>
      </c>
    </row>
    <row r="56" spans="1:58" ht="27.75" customHeight="1">
      <c r="A56" s="1716" t="s">
        <v>732</v>
      </c>
      <c r="B56" s="1716"/>
      <c r="C56" s="1716"/>
      <c r="D56" s="1716"/>
      <c r="E56" s="1716"/>
      <c r="F56" s="1716"/>
      <c r="G56" s="1716"/>
      <c r="H56" s="1716"/>
      <c r="I56" s="1716"/>
      <c r="J56" s="1716"/>
      <c r="K56" s="1716"/>
      <c r="L56" s="1716"/>
      <c r="AJ56" s="132"/>
      <c r="AK56" s="132"/>
      <c r="AW56" s="137">
        <f t="shared" si="1"/>
        <v>0</v>
      </c>
    </row>
    <row r="57" spans="1:58" ht="12" customHeight="1">
      <c r="AJ57" s="132"/>
      <c r="AK57" s="132"/>
      <c r="AW57" s="137">
        <f t="shared" si="1"/>
        <v>0</v>
      </c>
    </row>
    <row r="58" spans="1:58" s="195" customFormat="1" ht="51.75" customHeight="1">
      <c r="A58" s="1687" t="s">
        <v>429</v>
      </c>
      <c r="B58" s="1651" t="s">
        <v>430</v>
      </c>
      <c r="C58" s="1685" t="s">
        <v>445</v>
      </c>
      <c r="D58" s="1687" t="s">
        <v>446</v>
      </c>
      <c r="E58" s="1651"/>
      <c r="F58" s="1652"/>
      <c r="G58" s="1687" t="s">
        <v>447</v>
      </c>
      <c r="H58" s="1651"/>
      <c r="I58" s="1652"/>
      <c r="J58" s="1650" t="s">
        <v>433</v>
      </c>
      <c r="K58" s="1651"/>
      <c r="L58" s="1652"/>
      <c r="AJ58" s="132"/>
      <c r="AK58" s="132"/>
      <c r="AL58" s="1048"/>
      <c r="AW58" s="137">
        <f t="shared" si="1"/>
        <v>0</v>
      </c>
      <c r="AX58" s="700">
        <f t="shared" ref="AX58:BF58" si="3">SUM(D61:D66)-SUBTOTAL(109,D61:D66)</f>
        <v>0</v>
      </c>
      <c r="AY58" s="700">
        <f t="shared" si="3"/>
        <v>0</v>
      </c>
      <c r="AZ58" s="700">
        <f t="shared" si="3"/>
        <v>0</v>
      </c>
      <c r="BA58" s="700">
        <f t="shared" si="3"/>
        <v>0</v>
      </c>
      <c r="BB58" s="700">
        <f t="shared" si="3"/>
        <v>0</v>
      </c>
      <c r="BC58" s="700">
        <f t="shared" si="3"/>
        <v>0</v>
      </c>
      <c r="BD58" s="700">
        <f t="shared" si="3"/>
        <v>0</v>
      </c>
      <c r="BE58" s="700">
        <f t="shared" si="3"/>
        <v>0</v>
      </c>
      <c r="BF58" s="700">
        <f t="shared" si="3"/>
        <v>0</v>
      </c>
    </row>
    <row r="59" spans="1:58" s="195" customFormat="1" ht="51">
      <c r="A59" s="1688"/>
      <c r="B59" s="1684"/>
      <c r="C59" s="1686"/>
      <c r="D59" s="332" t="s">
        <v>1117</v>
      </c>
      <c r="E59" s="1174" t="s">
        <v>1118</v>
      </c>
      <c r="F59" s="1175" t="s">
        <v>1119</v>
      </c>
      <c r="G59" s="332" t="s">
        <v>1117</v>
      </c>
      <c r="H59" s="1174" t="s">
        <v>1118</v>
      </c>
      <c r="I59" s="1175" t="s">
        <v>1119</v>
      </c>
      <c r="J59" s="331" t="s">
        <v>1117</v>
      </c>
      <c r="K59" s="1174" t="s">
        <v>1118</v>
      </c>
      <c r="L59" s="1175" t="s">
        <v>1119</v>
      </c>
      <c r="AJ59" s="132"/>
      <c r="AK59" s="132"/>
      <c r="AL59" s="1048"/>
      <c r="AW59" s="137">
        <f t="shared" si="1"/>
        <v>0</v>
      </c>
    </row>
    <row r="60" spans="1:58" s="195" customFormat="1" ht="15.75">
      <c r="A60" s="275" t="s">
        <v>6</v>
      </c>
      <c r="B60" s="253" t="s">
        <v>7</v>
      </c>
      <c r="C60" s="341" t="s">
        <v>8</v>
      </c>
      <c r="D60" s="335" t="s">
        <v>9</v>
      </c>
      <c r="E60" s="336" t="s">
        <v>10</v>
      </c>
      <c r="F60" s="337" t="s">
        <v>417</v>
      </c>
      <c r="G60" s="335" t="s">
        <v>416</v>
      </c>
      <c r="H60" s="253" t="s">
        <v>415</v>
      </c>
      <c r="I60" s="338" t="s">
        <v>414</v>
      </c>
      <c r="J60" s="339" t="s">
        <v>413</v>
      </c>
      <c r="K60" s="253" t="s">
        <v>418</v>
      </c>
      <c r="L60" s="338" t="s">
        <v>419</v>
      </c>
      <c r="AJ60" s="132"/>
      <c r="AK60" s="132"/>
      <c r="AL60" s="1048"/>
      <c r="AW60" s="137">
        <f t="shared" si="1"/>
        <v>0</v>
      </c>
    </row>
    <row r="61" spans="1:58" ht="33.6" customHeight="1">
      <c r="A61" s="236">
        <v>130</v>
      </c>
      <c r="B61" s="241" t="s">
        <v>6</v>
      </c>
      <c r="C61" s="242" t="s">
        <v>603</v>
      </c>
      <c r="D61" s="350">
        <f t="shared" ref="D61:F64" si="4">IFERROR(J61/G61,0)</f>
        <v>0</v>
      </c>
      <c r="E61" s="1165">
        <f t="shared" si="4"/>
        <v>0</v>
      </c>
      <c r="F61" s="1167">
        <f t="shared" si="4"/>
        <v>0</v>
      </c>
      <c r="G61" s="350">
        <v>0</v>
      </c>
      <c r="H61" s="1165">
        <v>0</v>
      </c>
      <c r="I61" s="1167">
        <v>0</v>
      </c>
      <c r="J61" s="1168">
        <f>SUMIFS(Титульный!O25:O47,Титульный!M25:M47,доходы!AJ61,Титульный!R25:R47,доходы!AL61)
-SUM(J62:J64)</f>
        <v>1000000</v>
      </c>
      <c r="K61" s="1165">
        <f>SUMIFS(Титульный!P25:P47,Титульный!M25:M47,доходы!AJ61,Титульный!R25:R47,доходы!AL61)
-SUM(K62:K64)</f>
        <v>1000000</v>
      </c>
      <c r="L61" s="1167">
        <f>SUMIFS(Титульный!Q25:Q47,Титульный!M25:M47,доходы!AJ61,Титульный!R25:R47,доходы!AL61)
-SUM(L62:L64)</f>
        <v>1000000</v>
      </c>
      <c r="AJ61" s="132">
        <v>131</v>
      </c>
      <c r="AK61" s="132">
        <v>2</v>
      </c>
      <c r="AL61" s="123" t="s">
        <v>443</v>
      </c>
      <c r="AM61" s="119" t="s">
        <v>452</v>
      </c>
      <c r="AO61" s="1697"/>
      <c r="AP61" s="1697"/>
      <c r="AQ61" s="1697"/>
      <c r="AW61" s="137">
        <f t="shared" si="1"/>
        <v>0</v>
      </c>
    </row>
    <row r="62" spans="1:58" ht="33.6" customHeight="1">
      <c r="A62" s="218">
        <v>130</v>
      </c>
      <c r="B62" s="216" t="s">
        <v>7</v>
      </c>
      <c r="C62" s="308" t="s">
        <v>604</v>
      </c>
      <c r="D62" s="1154">
        <f t="shared" si="4"/>
        <v>0</v>
      </c>
      <c r="E62" s="1155">
        <f t="shared" si="4"/>
        <v>0</v>
      </c>
      <c r="F62" s="1158">
        <f t="shared" si="4"/>
        <v>0</v>
      </c>
      <c r="G62" s="1154">
        <v>300</v>
      </c>
      <c r="H62" s="1155">
        <v>300</v>
      </c>
      <c r="I62" s="1158">
        <v>300</v>
      </c>
      <c r="J62" s="1169">
        <v>0</v>
      </c>
      <c r="K62" s="1169">
        <v>0</v>
      </c>
      <c r="L62" s="1169">
        <v>0</v>
      </c>
      <c r="AJ62" s="132"/>
      <c r="AK62" s="132"/>
      <c r="AL62" s="123"/>
      <c r="AO62" s="1697"/>
      <c r="AP62" s="1697"/>
      <c r="AQ62" s="1697"/>
      <c r="AW62" s="137">
        <f t="shared" si="1"/>
        <v>0</v>
      </c>
    </row>
    <row r="63" spans="1:58" ht="33.6" customHeight="1">
      <c r="A63" s="218">
        <v>130</v>
      </c>
      <c r="B63" s="216" t="s">
        <v>8</v>
      </c>
      <c r="C63" s="701" t="s">
        <v>865</v>
      </c>
      <c r="D63" s="1154">
        <f t="shared" si="4"/>
        <v>0</v>
      </c>
      <c r="E63" s="1155">
        <f t="shared" si="4"/>
        <v>0</v>
      </c>
      <c r="F63" s="1158">
        <f t="shared" si="4"/>
        <v>0</v>
      </c>
      <c r="G63" s="1154">
        <v>0</v>
      </c>
      <c r="H63" s="1155">
        <v>0</v>
      </c>
      <c r="I63" s="1158">
        <v>0</v>
      </c>
      <c r="J63" s="1169">
        <v>0</v>
      </c>
      <c r="K63" s="1155">
        <v>0</v>
      </c>
      <c r="L63" s="1158">
        <v>0</v>
      </c>
      <c r="AJ63" s="132"/>
      <c r="AK63" s="132"/>
      <c r="AL63" s="123"/>
      <c r="AO63" s="1697"/>
      <c r="AP63" s="1697"/>
      <c r="AQ63" s="1697"/>
      <c r="AW63" s="137">
        <f t="shared" si="1"/>
        <v>0</v>
      </c>
    </row>
    <row r="64" spans="1:58" ht="33" customHeight="1">
      <c r="A64" s="218">
        <v>130</v>
      </c>
      <c r="B64" s="216">
        <v>4</v>
      </c>
      <c r="C64" s="308" t="s">
        <v>605</v>
      </c>
      <c r="D64" s="1154">
        <f t="shared" si="4"/>
        <v>0</v>
      </c>
      <c r="E64" s="1155">
        <f t="shared" si="4"/>
        <v>0</v>
      </c>
      <c r="F64" s="1158">
        <f t="shared" si="4"/>
        <v>0</v>
      </c>
      <c r="G64" s="1154"/>
      <c r="H64" s="1155"/>
      <c r="I64" s="1158"/>
      <c r="J64" s="1169"/>
      <c r="K64" s="1155"/>
      <c r="L64" s="1155"/>
      <c r="AJ64" s="132"/>
      <c r="AK64" s="132"/>
      <c r="AL64" s="123"/>
      <c r="AO64" s="142"/>
      <c r="AP64" s="142"/>
      <c r="AQ64" s="142"/>
      <c r="AW64" s="137">
        <f t="shared" si="1"/>
        <v>0</v>
      </c>
    </row>
    <row r="65" spans="1:58" ht="33" customHeight="1">
      <c r="A65" s="218">
        <v>130</v>
      </c>
      <c r="B65" s="216">
        <v>5</v>
      </c>
      <c r="C65" s="308" t="s">
        <v>750</v>
      </c>
      <c r="D65" s="1154"/>
      <c r="E65" s="1155"/>
      <c r="F65" s="1158"/>
      <c r="G65" s="1154"/>
      <c r="H65" s="1155"/>
      <c r="I65" s="1158"/>
      <c r="J65" s="1169">
        <f>SUMIFS(Титульный!O25:O47,Титульный!M25:M47,доходы!AJ65,Титульный!R25:R47,AL65)
+SUMIFS(Титульный!O25:O47,Титульный!M25:M47,доходы!AJ65,Титульный!R25:R47,AL66)
+SUMIFS(Титульный!O25:O47,Титульный!M25:M47,доходы!AJ65,Титульный!R25:R47,AL67)</f>
        <v>0</v>
      </c>
      <c r="K65" s="1155">
        <f>SUMIFS(Титульный!P25:P47,Титульный!M25:M47,доходы!AJ65,Титульный!R25:R47,AL65)
+SUMIFS(Титульный!P25:P47,Титульный!M25:M47,доходы!AJ65,Титульный!R25:R47,AL66)
+SUMIFS(Титульный!P25:P47,Титульный!M25:M47,доходы!AJ65,Титульный!R25:R47,AL67)</f>
        <v>0</v>
      </c>
      <c r="L65" s="1158">
        <f>SUMIFS(Титульный!Q25:Q47,Титульный!M25:M47,доходы!AJ65,Титульный!R25:R47,AL65)
+SUMIFS(Титульный!Q25:Q47,Титульный!M25:M47,доходы!AJ65,Титульный!R25:R47,AL66)
+SUMIFS(Титульный!Q25:Q47,Титульный!M25:M47,доходы!AJ65,Титульный!R25:R47,AL67)</f>
        <v>0</v>
      </c>
      <c r="AJ65" s="132">
        <v>131</v>
      </c>
      <c r="AK65" s="132">
        <v>2</v>
      </c>
      <c r="AL65" s="123" t="s">
        <v>1006</v>
      </c>
      <c r="AO65" s="142"/>
      <c r="AP65" s="142"/>
      <c r="AQ65" s="142"/>
      <c r="AW65" s="137">
        <f t="shared" si="1"/>
        <v>0</v>
      </c>
    </row>
    <row r="66" spans="1:58" ht="33" customHeight="1">
      <c r="A66" s="222"/>
      <c r="B66" s="220"/>
      <c r="C66" s="321"/>
      <c r="D66" s="1184"/>
      <c r="E66" s="1182"/>
      <c r="F66" s="1183"/>
      <c r="G66" s="1184"/>
      <c r="H66" s="1182"/>
      <c r="I66" s="1183"/>
      <c r="J66" s="1186"/>
      <c r="K66" s="1182"/>
      <c r="L66" s="1183"/>
      <c r="AJ66" s="132"/>
      <c r="AK66" s="132"/>
      <c r="AL66" s="123" t="s">
        <v>1007</v>
      </c>
      <c r="AW66" s="137">
        <f t="shared" si="1"/>
        <v>0</v>
      </c>
    </row>
    <row r="67" spans="1:58" ht="33" customHeight="1">
      <c r="A67" s="323"/>
      <c r="B67" s="259"/>
      <c r="C67" s="245" t="s">
        <v>438</v>
      </c>
      <c r="D67" s="1188" t="s">
        <v>412</v>
      </c>
      <c r="E67" s="1176" t="s">
        <v>412</v>
      </c>
      <c r="F67" s="1177" t="s">
        <v>412</v>
      </c>
      <c r="G67" s="1188" t="s">
        <v>412</v>
      </c>
      <c r="H67" s="1176" t="s">
        <v>412</v>
      </c>
      <c r="I67" s="1177" t="s">
        <v>412</v>
      </c>
      <c r="J67" s="1166">
        <f>SUM(J61:J66)</f>
        <v>1000000</v>
      </c>
      <c r="K67" s="1176">
        <f>SUM(K61:K66)</f>
        <v>1000000</v>
      </c>
      <c r="L67" s="1177">
        <f>SUM(L61:L66)</f>
        <v>1000000</v>
      </c>
      <c r="AJ67" s="132"/>
      <c r="AK67" s="132"/>
      <c r="AL67" s="123" t="s">
        <v>1008</v>
      </c>
      <c r="AW67" s="137">
        <f t="shared" si="1"/>
        <v>0</v>
      </c>
    </row>
    <row r="68" spans="1:58" ht="12" customHeight="1">
      <c r="AJ68" s="132"/>
      <c r="AK68" s="132"/>
      <c r="AL68" s="123"/>
      <c r="AW68" s="137">
        <f t="shared" si="1"/>
        <v>0</v>
      </c>
    </row>
    <row r="69" spans="1:58" s="195" customFormat="1" ht="12" hidden="1" customHeight="1">
      <c r="AJ69" s="132"/>
      <c r="AK69" s="132"/>
      <c r="AL69" s="123"/>
      <c r="AW69" s="137">
        <f t="shared" si="1"/>
        <v>0</v>
      </c>
    </row>
    <row r="70" spans="1:58" s="195" customFormat="1" ht="12" hidden="1" customHeight="1">
      <c r="AJ70" s="132"/>
      <c r="AK70" s="132"/>
      <c r="AL70" s="123"/>
      <c r="AW70" s="137">
        <f t="shared" si="1"/>
        <v>0</v>
      </c>
    </row>
    <row r="71" spans="1:58" ht="27.75" customHeight="1">
      <c r="A71" s="1643" t="s">
        <v>453</v>
      </c>
      <c r="B71" s="1643"/>
      <c r="C71" s="1643"/>
      <c r="D71" s="1643"/>
      <c r="E71" s="1643"/>
      <c r="F71" s="1643"/>
      <c r="G71" s="1643"/>
      <c r="H71" s="1643"/>
      <c r="I71" s="1643"/>
      <c r="J71" s="1643"/>
      <c r="K71" s="1643"/>
      <c r="L71" s="1643"/>
      <c r="AJ71" s="132"/>
      <c r="AK71" s="132"/>
      <c r="AL71" s="123"/>
      <c r="AW71" s="137">
        <f t="shared" ref="AW71:AW99" si="5">SUM(AX71:BL71)</f>
        <v>0</v>
      </c>
    </row>
    <row r="72" spans="1:58" ht="12" customHeight="1">
      <c r="AJ72" s="132"/>
      <c r="AK72" s="132"/>
      <c r="AL72" s="123"/>
      <c r="AW72" s="137">
        <f t="shared" si="5"/>
        <v>0</v>
      </c>
    </row>
    <row r="73" spans="1:58" s="195" customFormat="1" ht="33" customHeight="1">
      <c r="A73" s="1687" t="s">
        <v>429</v>
      </c>
      <c r="B73" s="1651" t="s">
        <v>430</v>
      </c>
      <c r="C73" s="1696" t="s">
        <v>0</v>
      </c>
      <c r="D73" s="1669" t="s">
        <v>433</v>
      </c>
      <c r="E73" s="1670"/>
      <c r="F73" s="1670"/>
      <c r="G73" s="1670"/>
      <c r="H73" s="1670"/>
      <c r="I73" s="1670"/>
      <c r="J73" s="1670"/>
      <c r="K73" s="1670"/>
      <c r="L73" s="1671"/>
      <c r="AJ73" s="132"/>
      <c r="AK73" s="132"/>
      <c r="AL73" s="123"/>
      <c r="AW73" s="137">
        <f t="shared" si="5"/>
        <v>0</v>
      </c>
      <c r="AX73" s="700">
        <f t="shared" ref="AX73:BF73" si="6">SUM(D76:D77)-SUBTOTAL(109,D76:D77)</f>
        <v>0</v>
      </c>
      <c r="AY73" s="700">
        <f t="shared" si="6"/>
        <v>0</v>
      </c>
      <c r="AZ73" s="700">
        <f t="shared" si="6"/>
        <v>0</v>
      </c>
      <c r="BA73" s="700">
        <f t="shared" si="6"/>
        <v>0</v>
      </c>
      <c r="BB73" s="700">
        <f t="shared" si="6"/>
        <v>0</v>
      </c>
      <c r="BC73" s="700">
        <f t="shared" si="6"/>
        <v>0</v>
      </c>
      <c r="BD73" s="700">
        <f t="shared" si="6"/>
        <v>0</v>
      </c>
      <c r="BE73" s="700">
        <f t="shared" si="6"/>
        <v>0</v>
      </c>
      <c r="BF73" s="700">
        <f t="shared" si="6"/>
        <v>0</v>
      </c>
    </row>
    <row r="74" spans="1:58" s="195" customFormat="1" ht="34.5" customHeight="1">
      <c r="A74" s="1688"/>
      <c r="B74" s="1684"/>
      <c r="C74" s="1698"/>
      <c r="D74" s="1661" t="s">
        <v>1117</v>
      </c>
      <c r="E74" s="1662"/>
      <c r="F74" s="1662"/>
      <c r="G74" s="1663" t="s">
        <v>1118</v>
      </c>
      <c r="H74" s="1663"/>
      <c r="I74" s="1663"/>
      <c r="J74" s="1663" t="s">
        <v>1119</v>
      </c>
      <c r="K74" s="1663"/>
      <c r="L74" s="1664"/>
      <c r="AJ74" s="132"/>
      <c r="AK74" s="132"/>
      <c r="AL74" s="123"/>
      <c r="AW74" s="137">
        <f t="shared" si="5"/>
        <v>0</v>
      </c>
    </row>
    <row r="75" spans="1:58">
      <c r="A75" s="193" t="s">
        <v>6</v>
      </c>
      <c r="B75" s="191" t="s">
        <v>7</v>
      </c>
      <c r="C75" s="192" t="s">
        <v>8</v>
      </c>
      <c r="D75" s="1720" t="s">
        <v>9</v>
      </c>
      <c r="E75" s="1718"/>
      <c r="F75" s="1719"/>
      <c r="G75" s="1720" t="s">
        <v>10</v>
      </c>
      <c r="H75" s="1718"/>
      <c r="I75" s="1719"/>
      <c r="J75" s="1717" t="s">
        <v>417</v>
      </c>
      <c r="K75" s="1718"/>
      <c r="L75" s="1719"/>
      <c r="AJ75" s="132"/>
      <c r="AK75" s="132"/>
      <c r="AL75" s="123"/>
      <c r="AW75" s="137">
        <f t="shared" si="5"/>
        <v>0</v>
      </c>
    </row>
    <row r="76" spans="1:58" ht="64.150000000000006" customHeight="1">
      <c r="A76" s="225" t="s">
        <v>38</v>
      </c>
      <c r="B76" s="254" t="s">
        <v>6</v>
      </c>
      <c r="C76" s="307" t="s">
        <v>454</v>
      </c>
      <c r="D76" s="1644">
        <f>SUMIFS(Титульный!O25:O47,Титульный!M25:M47,доходы!AJ76,Титульный!K25:K47,доходы!AK76)</f>
        <v>0</v>
      </c>
      <c r="E76" s="1645"/>
      <c r="F76" s="1648"/>
      <c r="G76" s="1644">
        <f>SUMIFS(Титульный!P25:P47,Титульный!M25:M47,доходы!AJ76,Титульный!K25:K47,доходы!AK76)</f>
        <v>0</v>
      </c>
      <c r="H76" s="1645"/>
      <c r="I76" s="1648"/>
      <c r="J76" s="1672">
        <f>SUMIFS(Титульный!Q25:Q47,Титульный!M25:M47,доходы!AJ76,Титульный!K25:K47,доходы!AK76)</f>
        <v>0</v>
      </c>
      <c r="K76" s="1673"/>
      <c r="L76" s="1674"/>
      <c r="AJ76" s="132">
        <v>141</v>
      </c>
      <c r="AK76" s="132">
        <v>2</v>
      </c>
      <c r="AL76" s="123"/>
      <c r="AM76" s="123" t="s">
        <v>455</v>
      </c>
      <c r="AW76" s="137">
        <f t="shared" si="5"/>
        <v>0</v>
      </c>
    </row>
    <row r="77" spans="1:58" ht="33" customHeight="1">
      <c r="A77" s="243" t="s">
        <v>38</v>
      </c>
      <c r="B77" s="252" t="s">
        <v>7</v>
      </c>
      <c r="C77" s="309" t="s">
        <v>857</v>
      </c>
      <c r="D77" s="1639">
        <f>SUMIFS(Титульный!O25:O47,Титульный!M25:M47,доходы!AJ77,Титульный!K25:K47,доходы!AK77)</f>
        <v>0</v>
      </c>
      <c r="E77" s="1640"/>
      <c r="F77" s="1642"/>
      <c r="G77" s="1639">
        <f>SUMIFS(Титульный!P25:P47,Титульный!M25:M47,доходы!AJ77,Титульный!K25:K47,доходы!AK77)</f>
        <v>0</v>
      </c>
      <c r="H77" s="1640"/>
      <c r="I77" s="1642"/>
      <c r="J77" s="1681">
        <f>SUMIFS(Титульный!Q25:Q47,Титульный!M25:M47,доходы!AJ77,Титульный!K25:K47,доходы!AK77)</f>
        <v>0</v>
      </c>
      <c r="K77" s="1640"/>
      <c r="L77" s="1642"/>
      <c r="AJ77" s="132">
        <v>145</v>
      </c>
      <c r="AK77" s="132">
        <v>2</v>
      </c>
      <c r="AL77" s="123"/>
      <c r="AM77" s="119" t="s">
        <v>297</v>
      </c>
      <c r="AW77" s="137">
        <f t="shared" si="5"/>
        <v>0</v>
      </c>
    </row>
    <row r="78" spans="1:58" ht="27.75" customHeight="1">
      <c r="A78" s="223"/>
      <c r="B78" s="278"/>
      <c r="C78" s="311" t="s">
        <v>438</v>
      </c>
      <c r="D78" s="1677">
        <f>SUM(D76:F77)</f>
        <v>0</v>
      </c>
      <c r="E78" s="1678"/>
      <c r="F78" s="1679"/>
      <c r="G78" s="1682">
        <f>SUM(G76:I77)</f>
        <v>0</v>
      </c>
      <c r="H78" s="1656"/>
      <c r="I78" s="1657"/>
      <c r="J78" s="1682">
        <f>SUM(J76:L77)</f>
        <v>0</v>
      </c>
      <c r="K78" s="1656"/>
      <c r="L78" s="1657"/>
      <c r="AL78" s="123"/>
      <c r="AW78" s="137">
        <f t="shared" si="5"/>
        <v>0</v>
      </c>
    </row>
    <row r="79" spans="1:58" ht="12" customHeight="1">
      <c r="AL79" s="123"/>
      <c r="AW79" s="137">
        <f t="shared" si="5"/>
        <v>0</v>
      </c>
    </row>
    <row r="80" spans="1:58" s="195" customFormat="1" ht="12" hidden="1" customHeight="1">
      <c r="AJ80" s="889"/>
      <c r="AK80" s="889"/>
      <c r="AL80" s="123"/>
      <c r="AW80" s="137">
        <f t="shared" si="5"/>
        <v>0</v>
      </c>
    </row>
    <row r="81" spans="1:52" s="195" customFormat="1" ht="12" hidden="1" customHeight="1">
      <c r="AJ81" s="889"/>
      <c r="AK81" s="889"/>
      <c r="AL81" s="123"/>
      <c r="AW81" s="137">
        <f t="shared" si="5"/>
        <v>0</v>
      </c>
    </row>
    <row r="82" spans="1:52" ht="27.75" customHeight="1">
      <c r="A82" s="1643" t="s">
        <v>456</v>
      </c>
      <c r="B82" s="1643"/>
      <c r="C82" s="1643"/>
      <c r="D82" s="1643"/>
      <c r="E82" s="1643"/>
      <c r="F82" s="1643"/>
      <c r="G82" s="1643"/>
      <c r="H82" s="1643"/>
      <c r="I82" s="1643"/>
      <c r="J82" s="1643"/>
      <c r="K82" s="1643"/>
      <c r="L82" s="1643"/>
      <c r="AL82" s="123"/>
      <c r="AW82" s="137">
        <f t="shared" si="5"/>
        <v>0</v>
      </c>
    </row>
    <row r="83" spans="1:52" ht="12" customHeight="1">
      <c r="AL83" s="123"/>
      <c r="AW83" s="137">
        <f t="shared" si="5"/>
        <v>0</v>
      </c>
    </row>
    <row r="84" spans="1:52" s="195" customFormat="1" ht="33" customHeight="1">
      <c r="A84" s="1687" t="s">
        <v>429</v>
      </c>
      <c r="B84" s="1651" t="s">
        <v>430</v>
      </c>
      <c r="C84" s="1696" t="s">
        <v>0</v>
      </c>
      <c r="D84" s="1658" t="s">
        <v>433</v>
      </c>
      <c r="E84" s="1659"/>
      <c r="F84" s="1659"/>
      <c r="G84" s="1659"/>
      <c r="H84" s="1659"/>
      <c r="I84" s="1659"/>
      <c r="J84" s="1659"/>
      <c r="K84" s="1659"/>
      <c r="L84" s="1660"/>
      <c r="AJ84" s="889"/>
      <c r="AK84" s="889"/>
      <c r="AL84" s="123"/>
      <c r="AW84" s="137">
        <f t="shared" si="5"/>
        <v>0</v>
      </c>
    </row>
    <row r="85" spans="1:52" s="195" customFormat="1" ht="34.5" customHeight="1">
      <c r="A85" s="1688"/>
      <c r="B85" s="1684"/>
      <c r="C85" s="1698"/>
      <c r="D85" s="1661" t="s">
        <v>1117</v>
      </c>
      <c r="E85" s="1662"/>
      <c r="F85" s="1662"/>
      <c r="G85" s="1663" t="s">
        <v>1118</v>
      </c>
      <c r="H85" s="1663"/>
      <c r="I85" s="1663"/>
      <c r="J85" s="1663" t="s">
        <v>1119</v>
      </c>
      <c r="K85" s="1663"/>
      <c r="L85" s="1664"/>
      <c r="AJ85" s="889"/>
      <c r="AK85" s="889"/>
      <c r="AL85" s="123"/>
      <c r="AW85" s="137">
        <f t="shared" si="5"/>
        <v>0</v>
      </c>
      <c r="AX85" s="137">
        <f>SUM(D87:F99)-SUBTOTAL(109,D87:F99)</f>
        <v>0</v>
      </c>
      <c r="AY85" s="137">
        <f>SUM(G87:I99)-SUBTOTAL(109,G87:I99)</f>
        <v>0</v>
      </c>
      <c r="AZ85" s="137">
        <f>SUM(J87:L99)-SUBTOTAL(109,J87:L99)</f>
        <v>0</v>
      </c>
    </row>
    <row r="86" spans="1:52" s="195" customFormat="1">
      <c r="A86" s="198" t="s">
        <v>6</v>
      </c>
      <c r="B86" s="196" t="s">
        <v>7</v>
      </c>
      <c r="C86" s="197" t="s">
        <v>8</v>
      </c>
      <c r="D86" s="1680">
        <v>4</v>
      </c>
      <c r="E86" s="1653"/>
      <c r="F86" s="1653"/>
      <c r="G86" s="1653">
        <v>5</v>
      </c>
      <c r="H86" s="1653"/>
      <c r="I86" s="1653"/>
      <c r="J86" s="1653">
        <v>6</v>
      </c>
      <c r="K86" s="1653"/>
      <c r="L86" s="1654"/>
      <c r="AJ86" s="889"/>
      <c r="AK86" s="889"/>
      <c r="AL86" s="123"/>
      <c r="AN86" s="1695"/>
      <c r="AW86" s="137">
        <f t="shared" si="5"/>
        <v>0</v>
      </c>
    </row>
    <row r="87" spans="1:52" s="696" customFormat="1" ht="27.75" customHeight="1">
      <c r="A87" s="689" t="s">
        <v>42</v>
      </c>
      <c r="B87" s="690" t="s">
        <v>6</v>
      </c>
      <c r="C87" s="691" t="s">
        <v>467</v>
      </c>
      <c r="D87" s="1713">
        <f>SUMIFS(Титульный!O25:O47,Титульный!M25:M47,доходы!AJ87,Титульный!K25:K47,доходы!AK87)</f>
        <v>6035022.0600000005</v>
      </c>
      <c r="E87" s="1714"/>
      <c r="F87" s="1714"/>
      <c r="G87" s="1714">
        <f>SUMIFS(Титульный!P25:P47,Титульный!M25:M47,доходы!AJ87,Титульный!K25:K47,доходы!AK87)</f>
        <v>2497380.06</v>
      </c>
      <c r="H87" s="1714"/>
      <c r="I87" s="1714"/>
      <c r="J87" s="1714">
        <f>SUMIFS(Титульный!Q25:Q47,Титульный!M25:M47,доходы!AJ87,Титульный!K25:K47,доходы!AK87)</f>
        <v>2497380.06</v>
      </c>
      <c r="K87" s="1714"/>
      <c r="L87" s="1715"/>
      <c r="AJ87" s="1046">
        <v>152</v>
      </c>
      <c r="AK87" s="1046">
        <v>5</v>
      </c>
      <c r="AL87" s="698"/>
      <c r="AM87" s="696" t="s">
        <v>458</v>
      </c>
      <c r="AN87" s="1695"/>
      <c r="AW87" s="137">
        <f t="shared" si="5"/>
        <v>0</v>
      </c>
    </row>
    <row r="88" spans="1:52" s="696" customFormat="1" ht="27.75" customHeight="1">
      <c r="A88" s="689" t="s">
        <v>42</v>
      </c>
      <c r="B88" s="690">
        <v>2</v>
      </c>
      <c r="C88" s="691" t="s">
        <v>468</v>
      </c>
      <c r="D88" s="1713">
        <f>SUMIFS(Титульный!O25:O47,Титульный!M25:M47,доходы!AJ88,Титульный!K25:K47,доходы!AK88)</f>
        <v>0</v>
      </c>
      <c r="E88" s="1714"/>
      <c r="F88" s="1714"/>
      <c r="G88" s="1714">
        <f>SUMIFS(Титульный!P25:P47,Титульный!M25:M47,доходы!AJ88,Титульный!K25:K47,доходы!AK88)</f>
        <v>0</v>
      </c>
      <c r="H88" s="1714"/>
      <c r="I88" s="1714"/>
      <c r="J88" s="1714">
        <f>SUMIFS(Титульный!Q25:Q47,Титульный!M25:M47,доходы!AJ88,Титульный!K25:K47,доходы!AK88)</f>
        <v>0</v>
      </c>
      <c r="K88" s="1714"/>
      <c r="L88" s="1715"/>
      <c r="AJ88" s="1046">
        <v>162</v>
      </c>
      <c r="AK88" s="1046">
        <v>2</v>
      </c>
      <c r="AL88" s="698"/>
      <c r="AM88" s="696" t="s">
        <v>458</v>
      </c>
      <c r="AN88" s="1695"/>
      <c r="AW88" s="137">
        <f t="shared" si="5"/>
        <v>0</v>
      </c>
    </row>
    <row r="89" spans="1:52" ht="33.6" customHeight="1">
      <c r="A89" s="225" t="s">
        <v>42</v>
      </c>
      <c r="B89" s="254">
        <v>3</v>
      </c>
      <c r="C89" s="671" t="s">
        <v>457</v>
      </c>
      <c r="D89" s="1675">
        <f>SUMIFS(Титульный!O25:O47,Титульный!M25:M47,доходы!AJ89,Титульный!K25:K47,доходы!AK89)</f>
        <v>2500000</v>
      </c>
      <c r="E89" s="1676"/>
      <c r="F89" s="1676"/>
      <c r="G89" s="1645">
        <f>SUMIFS(Титульный!P25:P47,Титульный!M25:M47,доходы!AJ89,Титульный!K25:K47,доходы!AK89)</f>
        <v>0</v>
      </c>
      <c r="H89" s="1645"/>
      <c r="I89" s="1645"/>
      <c r="J89" s="1645">
        <f>SUMIFS(Титульный!Q25:Q47,Титульный!M25:M47,доходы!AJ89,Титульный!K25:K47,доходы!AK89)</f>
        <v>0</v>
      </c>
      <c r="K89" s="1645"/>
      <c r="L89" s="1648"/>
      <c r="AJ89" s="132">
        <v>152</v>
      </c>
      <c r="AK89" s="132">
        <v>2</v>
      </c>
      <c r="AL89" s="123"/>
      <c r="AM89" s="672">
        <v>150152</v>
      </c>
      <c r="AN89" s="1695"/>
      <c r="AW89" s="137">
        <f t="shared" si="5"/>
        <v>0</v>
      </c>
    </row>
    <row r="90" spans="1:52" ht="27.75" customHeight="1">
      <c r="A90" s="218"/>
      <c r="B90" s="216"/>
      <c r="C90" s="342" t="s">
        <v>30</v>
      </c>
      <c r="D90" s="1637" t="s">
        <v>412</v>
      </c>
      <c r="E90" s="1638"/>
      <c r="F90" s="1638"/>
      <c r="G90" s="1638" t="s">
        <v>412</v>
      </c>
      <c r="H90" s="1638"/>
      <c r="I90" s="1638"/>
      <c r="J90" s="1638" t="s">
        <v>412</v>
      </c>
      <c r="K90" s="1638"/>
      <c r="L90" s="1641"/>
      <c r="AJ90" s="132"/>
      <c r="AK90" s="132"/>
      <c r="AL90" s="123"/>
      <c r="AN90" s="1695"/>
      <c r="AW90" s="137">
        <f t="shared" si="5"/>
        <v>0</v>
      </c>
    </row>
    <row r="91" spans="1:52" ht="27.75" customHeight="1">
      <c r="A91" s="218" t="s">
        <v>42</v>
      </c>
      <c r="B91" s="630" t="s">
        <v>463</v>
      </c>
      <c r="C91" s="342" t="s">
        <v>459</v>
      </c>
      <c r="D91" s="1637"/>
      <c r="E91" s="1638"/>
      <c r="F91" s="1638"/>
      <c r="G91" s="1638"/>
      <c r="H91" s="1638"/>
      <c r="I91" s="1638"/>
      <c r="J91" s="1638"/>
      <c r="K91" s="1638"/>
      <c r="L91" s="1641"/>
      <c r="AJ91" s="132"/>
      <c r="AK91" s="132"/>
      <c r="AL91" s="123"/>
      <c r="AN91" s="1695"/>
      <c r="AW91" s="137">
        <f t="shared" si="5"/>
        <v>0</v>
      </c>
    </row>
    <row r="92" spans="1:52" ht="27.75" customHeight="1">
      <c r="A92" s="218"/>
      <c r="B92" s="216"/>
      <c r="C92" s="342"/>
      <c r="D92" s="1637"/>
      <c r="E92" s="1638"/>
      <c r="F92" s="1638"/>
      <c r="G92" s="1638"/>
      <c r="H92" s="1638"/>
      <c r="I92" s="1638"/>
      <c r="J92" s="1638"/>
      <c r="K92" s="1638"/>
      <c r="L92" s="1641"/>
      <c r="AJ92" s="132"/>
      <c r="AK92" s="132"/>
      <c r="AL92" s="123"/>
      <c r="AN92" s="1695"/>
      <c r="AW92" s="137">
        <f t="shared" si="5"/>
        <v>0</v>
      </c>
    </row>
    <row r="93" spans="1:52" ht="30" customHeight="1">
      <c r="A93" s="218" t="s">
        <v>42</v>
      </c>
      <c r="B93" s="216">
        <v>4</v>
      </c>
      <c r="C93" s="270" t="s">
        <v>460</v>
      </c>
      <c r="D93" s="1637">
        <f>SUMIFS(Титульный!O25:O47,Титульный!M25:M47,доходы!AJ93,Титульный!K25:K47,доходы!AK93,Титульный!R25:R47,доходы!AL93)</f>
        <v>0</v>
      </c>
      <c r="E93" s="1638"/>
      <c r="F93" s="1638"/>
      <c r="G93" s="1638">
        <f>SUMIFS(Титульный!P25:P47,Титульный!M25:M47,доходы!AJ93,Титульный!K25:K47,доходы!AK93,Титульный!R25:R47,доходы!AL93)</f>
        <v>0</v>
      </c>
      <c r="H93" s="1638"/>
      <c r="I93" s="1638"/>
      <c r="J93" s="1638">
        <f>SUMIFS(Титульный!Q25:Q47,Титульный!M25:M47,доходы!AJ93,Титульный!K25:K47,доходы!AK93,Титульный!R25:R47,доходы!AL93)</f>
        <v>0</v>
      </c>
      <c r="K93" s="1638"/>
      <c r="L93" s="1641"/>
      <c r="AJ93" s="132">
        <v>155</v>
      </c>
      <c r="AK93" s="132">
        <v>2</v>
      </c>
      <c r="AL93" s="123" t="s">
        <v>1019</v>
      </c>
      <c r="AN93" s="1695"/>
      <c r="AW93" s="137">
        <f t="shared" si="5"/>
        <v>0</v>
      </c>
    </row>
    <row r="94" spans="1:52" ht="27.75" customHeight="1">
      <c r="A94" s="218"/>
      <c r="B94" s="216"/>
      <c r="C94" s="342"/>
      <c r="D94" s="1637"/>
      <c r="E94" s="1638"/>
      <c r="F94" s="1638"/>
      <c r="G94" s="1638"/>
      <c r="H94" s="1638"/>
      <c r="I94" s="1638"/>
      <c r="J94" s="1638"/>
      <c r="K94" s="1638"/>
      <c r="L94" s="1641"/>
      <c r="AJ94" s="132"/>
      <c r="AK94" s="132"/>
      <c r="AL94" s="123"/>
      <c r="AN94" s="1695"/>
      <c r="AW94" s="137">
        <f t="shared" si="5"/>
        <v>0</v>
      </c>
    </row>
    <row r="95" spans="1:52" ht="27.75" customHeight="1">
      <c r="A95" s="218" t="s">
        <v>42</v>
      </c>
      <c r="B95" s="216">
        <v>5</v>
      </c>
      <c r="C95" s="342" t="s">
        <v>461</v>
      </c>
      <c r="D95" s="1637">
        <f>SUMIFS(Титульный!O25:O47,Титульный!M25:M47,доходы!AJ95,Титульный!K25:K47,доходы!AK95,Титульный!R25:R47,доходы!AL95)</f>
        <v>0</v>
      </c>
      <c r="E95" s="1638"/>
      <c r="F95" s="1638"/>
      <c r="G95" s="1638">
        <f>SUMIFS(Титульный!P25:P47,Титульный!M25:M47,доходы!AJ95,Титульный!K25:K47,доходы!AK95,Титульный!R25:R47,доходы!AL95)</f>
        <v>0</v>
      </c>
      <c r="H95" s="1638"/>
      <c r="I95" s="1638"/>
      <c r="J95" s="1638">
        <f>SUMIFS(Титульный!Q25:Q47,Титульный!M25:M47,доходы!AJ95,Титульный!K25:K47,доходы!AK95,Титульный!R25:R47,доходы!AL95)</f>
        <v>0</v>
      </c>
      <c r="K95" s="1638"/>
      <c r="L95" s="1641"/>
      <c r="AJ95" s="132">
        <v>155</v>
      </c>
      <c r="AK95" s="132">
        <v>2</v>
      </c>
      <c r="AL95" s="123" t="s">
        <v>1003</v>
      </c>
      <c r="AM95" s="119" t="s">
        <v>462</v>
      </c>
      <c r="AN95" s="1695"/>
      <c r="AW95" s="137">
        <f t="shared" si="5"/>
        <v>0</v>
      </c>
    </row>
    <row r="96" spans="1:52" ht="27.75" customHeight="1">
      <c r="A96" s="218"/>
      <c r="B96" s="216"/>
      <c r="C96" s="342" t="s">
        <v>30</v>
      </c>
      <c r="D96" s="1637" t="s">
        <v>412</v>
      </c>
      <c r="E96" s="1638"/>
      <c r="F96" s="1638"/>
      <c r="G96" s="1638" t="s">
        <v>412</v>
      </c>
      <c r="H96" s="1638"/>
      <c r="I96" s="1638"/>
      <c r="J96" s="1638" t="s">
        <v>412</v>
      </c>
      <c r="K96" s="1638"/>
      <c r="L96" s="1641"/>
      <c r="AJ96" s="132"/>
      <c r="AK96" s="132"/>
      <c r="AL96" s="123"/>
      <c r="AN96" s="1695"/>
      <c r="AW96" s="137">
        <f t="shared" si="5"/>
        <v>0</v>
      </c>
    </row>
    <row r="97" spans="1:58" ht="27.75" customHeight="1">
      <c r="A97" s="218" t="s">
        <v>42</v>
      </c>
      <c r="B97" s="631" t="s">
        <v>832</v>
      </c>
      <c r="C97" s="342" t="s">
        <v>459</v>
      </c>
      <c r="D97" s="1637"/>
      <c r="E97" s="1638"/>
      <c r="F97" s="1638"/>
      <c r="G97" s="1638"/>
      <c r="H97" s="1638"/>
      <c r="I97" s="1638"/>
      <c r="J97" s="1638"/>
      <c r="K97" s="1638"/>
      <c r="L97" s="1641"/>
      <c r="AJ97" s="132"/>
      <c r="AK97" s="132"/>
      <c r="AL97" s="123"/>
      <c r="AN97" s="1695"/>
      <c r="AW97" s="137">
        <f t="shared" si="5"/>
        <v>0</v>
      </c>
    </row>
    <row r="98" spans="1:58" ht="27.75" customHeight="1">
      <c r="A98" s="218"/>
      <c r="B98" s="216"/>
      <c r="C98" s="342"/>
      <c r="D98" s="1637"/>
      <c r="E98" s="1638"/>
      <c r="F98" s="1638"/>
      <c r="G98" s="1638"/>
      <c r="H98" s="1638"/>
      <c r="I98" s="1638"/>
      <c r="J98" s="1638"/>
      <c r="K98" s="1638"/>
      <c r="L98" s="1641"/>
      <c r="AJ98" s="132"/>
      <c r="AK98" s="132"/>
      <c r="AL98" s="123"/>
      <c r="AN98" s="1695"/>
      <c r="AW98" s="137">
        <f t="shared" si="5"/>
        <v>0</v>
      </c>
    </row>
    <row r="99" spans="1:58" ht="31.9" customHeight="1">
      <c r="A99" s="218" t="s">
        <v>42</v>
      </c>
      <c r="B99" s="216">
        <v>6</v>
      </c>
      <c r="C99" s="1078" t="s">
        <v>464</v>
      </c>
      <c r="D99" s="1637">
        <f>SUMIFS(Титульный!O25:O47,Титульный!M25:M47,доходы!AJ99,Титульный!K25:K47,доходы!AK99,Титульный!R25:R47,доходы!AL99)</f>
        <v>0</v>
      </c>
      <c r="E99" s="1638"/>
      <c r="F99" s="1638"/>
      <c r="G99" s="1638">
        <f>SUMIFS(Титульный!P25:P47,Титульный!M25:M47,доходы!AJ99,Титульный!K25:K47,доходы!AK99,Титульный!R25:R47,доходы!AL99)</f>
        <v>0</v>
      </c>
      <c r="H99" s="1638"/>
      <c r="I99" s="1638"/>
      <c r="J99" s="1638">
        <f>SUMIFS(Титульный!Q25:Q47,Титульный!M25:M47,доходы!AJ99,Титульный!K25:K47,доходы!AK99,Титульный!R25:R47,доходы!AL99)</f>
        <v>0</v>
      </c>
      <c r="K99" s="1638"/>
      <c r="L99" s="1641"/>
      <c r="AJ99" s="132">
        <v>155</v>
      </c>
      <c r="AK99" s="132">
        <v>2</v>
      </c>
      <c r="AL99" s="123" t="s">
        <v>1020</v>
      </c>
      <c r="AM99" s="119" t="s">
        <v>465</v>
      </c>
      <c r="AN99" s="1695"/>
      <c r="AW99" s="137">
        <f t="shared" si="5"/>
        <v>0</v>
      </c>
      <c r="AX99" s="700"/>
      <c r="AY99" s="700"/>
      <c r="AZ99" s="700"/>
      <c r="BA99" s="700"/>
      <c r="BB99" s="700"/>
      <c r="BC99" s="700"/>
      <c r="BD99" s="700"/>
      <c r="BE99" s="700"/>
      <c r="BF99" s="700"/>
    </row>
    <row r="100" spans="1:58" s="195" customFormat="1" ht="31.9" customHeight="1">
      <c r="A100" s="218"/>
      <c r="B100" s="216"/>
      <c r="C100" s="1078"/>
      <c r="D100" s="1637"/>
      <c r="E100" s="1638"/>
      <c r="F100" s="1638"/>
      <c r="G100" s="1638"/>
      <c r="H100" s="1638"/>
      <c r="I100" s="1638"/>
      <c r="J100" s="1638"/>
      <c r="K100" s="1638"/>
      <c r="L100" s="1641"/>
      <c r="M100"/>
      <c r="N100"/>
      <c r="O100"/>
      <c r="P100"/>
      <c r="Q100"/>
      <c r="R100"/>
      <c r="S100"/>
      <c r="T100"/>
      <c r="U100"/>
      <c r="V100"/>
      <c r="W100"/>
      <c r="X100"/>
      <c r="Y100"/>
      <c r="Z100"/>
      <c r="AA100"/>
      <c r="AB100"/>
      <c r="AC100"/>
      <c r="AD100"/>
      <c r="AE100"/>
      <c r="AF100"/>
      <c r="AG100"/>
      <c r="AH100"/>
      <c r="AI100"/>
      <c r="AJ100" s="132"/>
      <c r="AK100" s="132"/>
      <c r="AL100" s="123"/>
      <c r="AN100" s="1077"/>
      <c r="AW100" s="137"/>
      <c r="AX100" s="700"/>
      <c r="AY100" s="700"/>
      <c r="AZ100" s="700"/>
      <c r="BA100" s="700"/>
      <c r="BB100" s="700"/>
      <c r="BC100" s="700"/>
      <c r="BD100" s="700"/>
      <c r="BE100" s="700"/>
      <c r="BF100" s="700"/>
    </row>
    <row r="101" spans="1:58" s="195" customFormat="1" ht="31.9" customHeight="1">
      <c r="A101" s="218" t="s">
        <v>42</v>
      </c>
      <c r="B101" s="216">
        <v>7</v>
      </c>
      <c r="C101" s="1078" t="s">
        <v>1001</v>
      </c>
      <c r="D101" s="1639">
        <f>SUMIFS(Титульный!O27:O65,Титульный!M27:M65,доходы!AJ101,Титульный!K27:K65,доходы!AK101,Титульный!R27:R65,доходы!AL101)</f>
        <v>120750</v>
      </c>
      <c r="E101" s="1640"/>
      <c r="F101" s="1640"/>
      <c r="G101" s="1640">
        <f>SUMIFS(Титульный!P27:P65,Титульный!M27:M65,доходы!AJ101,Титульный!K27:K65,доходы!AK101,Титульный!R27:R65,доходы!AL101)</f>
        <v>0</v>
      </c>
      <c r="H101" s="1640"/>
      <c r="I101" s="1640"/>
      <c r="J101" s="1640">
        <f>SUMIFS(Титульный!Q27:Q65,Титульный!M27:M65,доходы!AJ101,Титульный!K27:K65,доходы!AK101,Титульный!R27:R65,доходы!AL101)</f>
        <v>0</v>
      </c>
      <c r="K101" s="1640"/>
      <c r="L101" s="1642"/>
      <c r="M101"/>
      <c r="N101"/>
      <c r="O101"/>
      <c r="P101"/>
      <c r="Q101"/>
      <c r="R101"/>
      <c r="S101"/>
      <c r="T101"/>
      <c r="U101"/>
      <c r="V101"/>
      <c r="W101"/>
      <c r="X101"/>
      <c r="Y101"/>
      <c r="Z101"/>
      <c r="AA101"/>
      <c r="AB101"/>
      <c r="AC101"/>
      <c r="AD101"/>
      <c r="AE101"/>
      <c r="AF101"/>
      <c r="AG101"/>
      <c r="AH101"/>
      <c r="AI101"/>
      <c r="AJ101" s="132">
        <v>155</v>
      </c>
      <c r="AK101" s="132">
        <v>2</v>
      </c>
      <c r="AL101" s="123" t="s">
        <v>1001</v>
      </c>
      <c r="AN101" s="1077"/>
      <c r="AW101" s="137"/>
      <c r="AX101" s="700"/>
      <c r="AY101" s="700"/>
      <c r="AZ101" s="700"/>
      <c r="BA101" s="700"/>
      <c r="BB101" s="700"/>
      <c r="BC101" s="700"/>
      <c r="BD101" s="700"/>
      <c r="BE101" s="700"/>
      <c r="BF101" s="700"/>
    </row>
    <row r="102" spans="1:58" ht="27.75" customHeight="1">
      <c r="A102" s="323"/>
      <c r="B102" s="320"/>
      <c r="C102" s="212" t="s">
        <v>438</v>
      </c>
      <c r="D102" s="1666">
        <f>D89+D93+D95+D99+D87+D88+D101</f>
        <v>8655772.0600000005</v>
      </c>
      <c r="E102" s="1667"/>
      <c r="F102" s="1667"/>
      <c r="G102" s="1655">
        <f>G89+G93+G95+G99+G87+G88+G101</f>
        <v>2497380.06</v>
      </c>
      <c r="H102" s="1656"/>
      <c r="I102" s="1683"/>
      <c r="J102" s="1655">
        <f>J89+J93+J95+J99+J87+J88+J101</f>
        <v>2497380.06</v>
      </c>
      <c r="K102" s="1656"/>
      <c r="L102" s="1657"/>
      <c r="AL102" s="123"/>
      <c r="AW102" s="137">
        <f t="shared" ref="AW102:AW135" si="7">SUM(AX102:BL102)</f>
        <v>0</v>
      </c>
    </row>
    <row r="103" spans="1:58" ht="12" customHeight="1">
      <c r="A103" s="120"/>
      <c r="AW103" s="137">
        <f t="shared" si="7"/>
        <v>0</v>
      </c>
    </row>
    <row r="104" spans="1:58" s="195" customFormat="1" ht="12" hidden="1" customHeight="1">
      <c r="A104" s="120"/>
      <c r="AJ104" s="889"/>
      <c r="AK104" s="889"/>
      <c r="AL104" s="1048"/>
      <c r="AW104" s="137">
        <f t="shared" si="7"/>
        <v>0</v>
      </c>
    </row>
    <row r="105" spans="1:58" s="195" customFormat="1" ht="12" hidden="1" customHeight="1">
      <c r="A105" s="120"/>
      <c r="AJ105" s="889"/>
      <c r="AK105" s="889"/>
      <c r="AL105" s="1048"/>
      <c r="AW105" s="137">
        <f t="shared" si="7"/>
        <v>0</v>
      </c>
    </row>
    <row r="106" spans="1:58" ht="27.75" customHeight="1">
      <c r="A106" s="1643" t="s">
        <v>466</v>
      </c>
      <c r="B106" s="1643"/>
      <c r="C106" s="1643"/>
      <c r="D106" s="1643"/>
      <c r="E106" s="1643"/>
      <c r="F106" s="1643"/>
      <c r="G106" s="1643"/>
      <c r="H106" s="1643"/>
      <c r="I106" s="1643"/>
      <c r="J106" s="1643"/>
      <c r="K106" s="1643"/>
      <c r="L106" s="1643"/>
      <c r="AW106" s="137">
        <f t="shared" si="7"/>
        <v>0</v>
      </c>
    </row>
    <row r="107" spans="1:58" ht="12" customHeight="1">
      <c r="AW107" s="137">
        <f t="shared" si="7"/>
        <v>0</v>
      </c>
    </row>
    <row r="108" spans="1:58" s="195" customFormat="1" ht="33" customHeight="1">
      <c r="A108" s="1687" t="s">
        <v>429</v>
      </c>
      <c r="B108" s="1651" t="s">
        <v>430</v>
      </c>
      <c r="C108" s="1696" t="s">
        <v>0</v>
      </c>
      <c r="D108" s="1658" t="s">
        <v>433</v>
      </c>
      <c r="E108" s="1659"/>
      <c r="F108" s="1659"/>
      <c r="G108" s="1659"/>
      <c r="H108" s="1659"/>
      <c r="I108" s="1659"/>
      <c r="J108" s="1659"/>
      <c r="K108" s="1659"/>
      <c r="L108" s="1660"/>
      <c r="AJ108" s="889"/>
      <c r="AK108" s="889"/>
      <c r="AL108" s="1048"/>
      <c r="AW108" s="137">
        <f t="shared" si="7"/>
        <v>0</v>
      </c>
      <c r="AX108" s="137">
        <f>SUM(D111:F112)-SUBTOTAL(109,D111:F112)</f>
        <v>0</v>
      </c>
      <c r="AY108" s="137">
        <f>SUM(G111:I112)-SUBTOTAL(109,G111:I112)</f>
        <v>0</v>
      </c>
      <c r="AZ108" s="137">
        <f>SUM(J111:L112)-SUBTOTAL(109,J111:L112)</f>
        <v>0</v>
      </c>
    </row>
    <row r="109" spans="1:58" s="195" customFormat="1" ht="34.5" customHeight="1">
      <c r="A109" s="1688"/>
      <c r="B109" s="1684"/>
      <c r="C109" s="1686"/>
      <c r="D109" s="1661" t="s">
        <v>1117</v>
      </c>
      <c r="E109" s="1662"/>
      <c r="F109" s="1662"/>
      <c r="G109" s="1663" t="s">
        <v>1118</v>
      </c>
      <c r="H109" s="1663"/>
      <c r="I109" s="1663"/>
      <c r="J109" s="1663" t="s">
        <v>1119</v>
      </c>
      <c r="K109" s="1663"/>
      <c r="L109" s="1664"/>
      <c r="AJ109" s="889"/>
      <c r="AK109" s="889"/>
      <c r="AL109" s="1048"/>
      <c r="AW109" s="137">
        <f t="shared" si="7"/>
        <v>0</v>
      </c>
    </row>
    <row r="110" spans="1:58" s="195" customFormat="1">
      <c r="A110" s="198" t="s">
        <v>6</v>
      </c>
      <c r="B110" s="196" t="s">
        <v>7</v>
      </c>
      <c r="C110" s="200" t="s">
        <v>8</v>
      </c>
      <c r="D110" s="1665">
        <v>4</v>
      </c>
      <c r="E110" s="1653"/>
      <c r="F110" s="1653"/>
      <c r="G110" s="1653">
        <v>5</v>
      </c>
      <c r="H110" s="1653"/>
      <c r="I110" s="1653"/>
      <c r="J110" s="1653">
        <v>6</v>
      </c>
      <c r="K110" s="1653"/>
      <c r="L110" s="1654"/>
      <c r="AJ110" s="889"/>
      <c r="AK110" s="889"/>
      <c r="AL110" s="1048"/>
      <c r="AW110" s="137">
        <f t="shared" si="7"/>
        <v>0</v>
      </c>
    </row>
    <row r="111" spans="1:58" ht="27.75" customHeight="1">
      <c r="A111" s="680">
        <v>180</v>
      </c>
      <c r="B111" s="254" t="s">
        <v>6</v>
      </c>
      <c r="C111" s="312"/>
      <c r="D111" s="1644">
        <f>SUMIFS(Титульный!O25:O47,Титульный!M25:M47,доходы!AJ111,Титульный!K25:K47,доходы!AK111)</f>
        <v>0</v>
      </c>
      <c r="E111" s="1645"/>
      <c r="F111" s="1645"/>
      <c r="G111" s="1645">
        <f>SUMIFS(Титульный!P25:P47,Титульный!M25:M47,доходы!AJ111,Титульный!K25:K47,доходы!AK111)</f>
        <v>0</v>
      </c>
      <c r="H111" s="1645"/>
      <c r="I111" s="1645"/>
      <c r="J111" s="1645">
        <f>SUMIFS(Титульный!Q25:Q47,Титульный!M25:M47,доходы!AJ111,Титульный!K25:K47,доходы!AK111)</f>
        <v>0</v>
      </c>
      <c r="K111" s="1645"/>
      <c r="L111" s="1648"/>
      <c r="AJ111" s="132">
        <v>180</v>
      </c>
      <c r="AK111" s="132">
        <v>2</v>
      </c>
      <c r="AM111" s="119" t="s">
        <v>597</v>
      </c>
      <c r="AW111" s="137">
        <f t="shared" si="7"/>
        <v>0</v>
      </c>
    </row>
    <row r="112" spans="1:58" ht="27.75" customHeight="1">
      <c r="A112" s="325"/>
      <c r="B112" s="216"/>
      <c r="C112" s="238"/>
      <c r="D112" s="1637"/>
      <c r="E112" s="1638"/>
      <c r="F112" s="1638"/>
      <c r="G112" s="1638"/>
      <c r="H112" s="1638"/>
      <c r="I112" s="1638"/>
      <c r="J112" s="1638"/>
      <c r="K112" s="1638"/>
      <c r="L112" s="1641"/>
      <c r="AW112" s="137">
        <f t="shared" si="7"/>
        <v>0</v>
      </c>
    </row>
    <row r="113" spans="1:52" ht="27.75" customHeight="1">
      <c r="A113" s="231"/>
      <c r="B113" s="233"/>
      <c r="C113" s="343" t="s">
        <v>438</v>
      </c>
      <c r="D113" s="1646">
        <f>SUM(D111:D112)</f>
        <v>0</v>
      </c>
      <c r="E113" s="1647"/>
      <c r="F113" s="1647"/>
      <c r="G113" s="1647">
        <f>SUM(G111:G112)</f>
        <v>0</v>
      </c>
      <c r="H113" s="1647"/>
      <c r="I113" s="1647"/>
      <c r="J113" s="1647">
        <f>SUM(J111:J112)</f>
        <v>0</v>
      </c>
      <c r="K113" s="1647"/>
      <c r="L113" s="1649"/>
      <c r="AW113" s="137">
        <f t="shared" si="7"/>
        <v>0</v>
      </c>
    </row>
    <row r="114" spans="1:52" ht="12" customHeight="1">
      <c r="AW114" s="137">
        <f t="shared" si="7"/>
        <v>0</v>
      </c>
    </row>
    <row r="115" spans="1:52" s="195" customFormat="1" ht="12" hidden="1" customHeight="1">
      <c r="AJ115" s="889"/>
      <c r="AK115" s="889"/>
      <c r="AL115" s="1048"/>
      <c r="AW115" s="137">
        <f t="shared" si="7"/>
        <v>0</v>
      </c>
    </row>
    <row r="116" spans="1:52" s="195" customFormat="1" ht="12" hidden="1" customHeight="1">
      <c r="AJ116" s="889"/>
      <c r="AK116" s="889"/>
      <c r="AL116" s="1048"/>
      <c r="AW116" s="137">
        <f t="shared" si="7"/>
        <v>0</v>
      </c>
    </row>
    <row r="117" spans="1:52" ht="27.75" customHeight="1">
      <c r="A117" s="1643" t="s">
        <v>469</v>
      </c>
      <c r="B117" s="1643"/>
      <c r="C117" s="1643"/>
      <c r="D117" s="1643"/>
      <c r="E117" s="1643"/>
      <c r="F117" s="1643"/>
      <c r="G117" s="1643"/>
      <c r="H117" s="1643"/>
      <c r="I117" s="1643"/>
      <c r="J117" s="1643"/>
      <c r="K117" s="1643"/>
      <c r="L117" s="1643"/>
      <c r="AW117" s="137">
        <f t="shared" si="7"/>
        <v>0</v>
      </c>
    </row>
    <row r="118" spans="1:52" ht="12" customHeight="1">
      <c r="AW118" s="137">
        <f t="shared" si="7"/>
        <v>0</v>
      </c>
    </row>
    <row r="119" spans="1:52" s="195" customFormat="1" ht="51.75" customHeight="1">
      <c r="A119" s="1687" t="s">
        <v>429</v>
      </c>
      <c r="B119" s="1651" t="s">
        <v>430</v>
      </c>
      <c r="C119" s="1685" t="s">
        <v>445</v>
      </c>
      <c r="D119" s="1687" t="s">
        <v>446</v>
      </c>
      <c r="E119" s="1651"/>
      <c r="F119" s="1652"/>
      <c r="G119" s="1687" t="s">
        <v>447</v>
      </c>
      <c r="H119" s="1651"/>
      <c r="I119" s="1652"/>
      <c r="J119" s="1650" t="s">
        <v>433</v>
      </c>
      <c r="K119" s="1651"/>
      <c r="L119" s="1652"/>
      <c r="AJ119" s="889"/>
      <c r="AK119" s="889"/>
      <c r="AL119" s="1048"/>
      <c r="AW119" s="137">
        <f t="shared" si="7"/>
        <v>0</v>
      </c>
      <c r="AX119" s="137">
        <f>SUM(D122:F124)-SUBTOTAL(109,D122:F124)</f>
        <v>0</v>
      </c>
      <c r="AY119" s="137">
        <f>SUM(G122:I124)-SUBTOTAL(109,G122:I124)</f>
        <v>0</v>
      </c>
      <c r="AZ119" s="137">
        <f>SUM(J122:L124)-SUBTOTAL(109,J122:L124)</f>
        <v>0</v>
      </c>
    </row>
    <row r="120" spans="1:52" s="195" customFormat="1" ht="51">
      <c r="A120" s="1688"/>
      <c r="B120" s="1684"/>
      <c r="C120" s="1686"/>
      <c r="D120" s="332" t="s">
        <v>1117</v>
      </c>
      <c r="E120" s="1174" t="s">
        <v>1118</v>
      </c>
      <c r="F120" s="1175" t="s">
        <v>1119</v>
      </c>
      <c r="G120" s="332" t="s">
        <v>1117</v>
      </c>
      <c r="H120" s="1174" t="s">
        <v>1118</v>
      </c>
      <c r="I120" s="1175" t="s">
        <v>1119</v>
      </c>
      <c r="J120" s="331" t="s">
        <v>1117</v>
      </c>
      <c r="K120" s="1174" t="s">
        <v>1118</v>
      </c>
      <c r="L120" s="1175" t="s">
        <v>1119</v>
      </c>
      <c r="AJ120" s="889"/>
      <c r="AK120" s="889"/>
      <c r="AL120" s="1048"/>
      <c r="AW120" s="137">
        <f t="shared" si="7"/>
        <v>0</v>
      </c>
    </row>
    <row r="121" spans="1:52" s="195" customFormat="1" ht="15.75">
      <c r="A121" s="275" t="s">
        <v>6</v>
      </c>
      <c r="B121" s="253" t="s">
        <v>7</v>
      </c>
      <c r="C121" s="341" t="s">
        <v>8</v>
      </c>
      <c r="D121" s="335" t="s">
        <v>9</v>
      </c>
      <c r="E121" s="336" t="s">
        <v>10</v>
      </c>
      <c r="F121" s="337" t="s">
        <v>417</v>
      </c>
      <c r="G121" s="335" t="s">
        <v>416</v>
      </c>
      <c r="H121" s="253" t="s">
        <v>415</v>
      </c>
      <c r="I121" s="338" t="s">
        <v>414</v>
      </c>
      <c r="J121" s="339" t="s">
        <v>413</v>
      </c>
      <c r="K121" s="253" t="s">
        <v>418</v>
      </c>
      <c r="L121" s="338" t="s">
        <v>419</v>
      </c>
      <c r="AJ121" s="889"/>
      <c r="AK121" s="889"/>
      <c r="AL121" s="1048"/>
      <c r="AW121" s="137">
        <f t="shared" si="7"/>
        <v>0</v>
      </c>
    </row>
    <row r="122" spans="1:52" s="136" customFormat="1" ht="27.75" customHeight="1">
      <c r="A122" s="225" t="s">
        <v>307</v>
      </c>
      <c r="B122" s="254">
        <v>1</v>
      </c>
      <c r="C122" s="307" t="s">
        <v>470</v>
      </c>
      <c r="D122" s="1160"/>
      <c r="E122" s="1161"/>
      <c r="F122" s="1163"/>
      <c r="G122" s="1160"/>
      <c r="H122" s="1161"/>
      <c r="I122" s="1163"/>
      <c r="J122" s="1185">
        <f>SUMIFS(Титульный!O25:O47,Титульный!M25:M47,доходы!AJ122,Титульный!K25:K47,доходы!AK122)</f>
        <v>0</v>
      </c>
      <c r="K122" s="1161">
        <f>SUMIFS(Титульный!P25:P47,Титульный!M25:M47,доходы!AJ122,Титульный!K25:K47,доходы!AK122)</f>
        <v>0</v>
      </c>
      <c r="L122" s="1163">
        <f>SUMIFS(Титульный!Q25:Q47,Титульный!M25:M47,доходы!AJ122,Титульный!K25:K47,доходы!AK122)</f>
        <v>0</v>
      </c>
      <c r="AJ122" s="304">
        <v>440</v>
      </c>
      <c r="AK122" s="304">
        <v>2</v>
      </c>
      <c r="AL122" s="1050"/>
      <c r="AW122" s="137">
        <f t="shared" si="7"/>
        <v>0</v>
      </c>
    </row>
    <row r="123" spans="1:52" s="136" customFormat="1" ht="30.6" customHeight="1">
      <c r="A123" s="218" t="s">
        <v>307</v>
      </c>
      <c r="B123" s="216">
        <v>2</v>
      </c>
      <c r="C123" s="308" t="s">
        <v>471</v>
      </c>
      <c r="D123" s="1154" t="s">
        <v>412</v>
      </c>
      <c r="E123" s="1155" t="s">
        <v>412</v>
      </c>
      <c r="F123" s="1158" t="s">
        <v>412</v>
      </c>
      <c r="G123" s="1154" t="s">
        <v>412</v>
      </c>
      <c r="H123" s="1155" t="s">
        <v>412</v>
      </c>
      <c r="I123" s="1158" t="s">
        <v>412</v>
      </c>
      <c r="J123" s="1169"/>
      <c r="K123" s="1155"/>
      <c r="L123" s="1158"/>
      <c r="AJ123" s="1047"/>
      <c r="AK123" s="1047"/>
      <c r="AL123" s="1050"/>
      <c r="AM123" s="344" t="s">
        <v>472</v>
      </c>
      <c r="AW123" s="137">
        <f t="shared" si="7"/>
        <v>0</v>
      </c>
    </row>
    <row r="124" spans="1:52" s="136" customFormat="1" ht="31.9" customHeight="1">
      <c r="A124" s="222" t="s">
        <v>307</v>
      </c>
      <c r="B124" s="220">
        <v>3</v>
      </c>
      <c r="C124" s="345" t="s">
        <v>473</v>
      </c>
      <c r="D124" s="1184" t="s">
        <v>412</v>
      </c>
      <c r="E124" s="1182" t="s">
        <v>412</v>
      </c>
      <c r="F124" s="1183" t="s">
        <v>412</v>
      </c>
      <c r="G124" s="1184" t="s">
        <v>412</v>
      </c>
      <c r="H124" s="1182" t="s">
        <v>412</v>
      </c>
      <c r="I124" s="1183" t="s">
        <v>412</v>
      </c>
      <c r="J124" s="1186"/>
      <c r="K124" s="1182"/>
      <c r="L124" s="1183"/>
      <c r="AJ124" s="1047"/>
      <c r="AK124" s="1047"/>
      <c r="AL124" s="1050"/>
      <c r="AM124" s="344" t="s">
        <v>472</v>
      </c>
      <c r="AW124" s="137">
        <f t="shared" si="7"/>
        <v>0</v>
      </c>
    </row>
    <row r="125" spans="1:52" s="136" customFormat="1" ht="27.75" customHeight="1">
      <c r="A125" s="258"/>
      <c r="B125" s="346"/>
      <c r="C125" s="245" t="s">
        <v>438</v>
      </c>
      <c r="D125" s="1188" t="s">
        <v>412</v>
      </c>
      <c r="E125" s="1176" t="s">
        <v>412</v>
      </c>
      <c r="F125" s="1177" t="s">
        <v>412</v>
      </c>
      <c r="G125" s="1188" t="s">
        <v>412</v>
      </c>
      <c r="H125" s="1176" t="s">
        <v>412</v>
      </c>
      <c r="I125" s="1177" t="s">
        <v>412</v>
      </c>
      <c r="J125" s="1166">
        <f>J122+J123+J124</f>
        <v>0</v>
      </c>
      <c r="K125" s="1176">
        <f>K122+K123+K124</f>
        <v>0</v>
      </c>
      <c r="L125" s="1177">
        <f>L122+L123+L124</f>
        <v>0</v>
      </c>
      <c r="AJ125" s="1047"/>
      <c r="AK125" s="1047"/>
      <c r="AL125" s="1050"/>
      <c r="AW125" s="137">
        <f t="shared" si="7"/>
        <v>0</v>
      </c>
    </row>
    <row r="126" spans="1:52" ht="12" customHeight="1">
      <c r="AW126" s="137">
        <f t="shared" si="7"/>
        <v>0</v>
      </c>
    </row>
    <row r="127" spans="1:52" s="195" customFormat="1" ht="12" hidden="1" customHeight="1">
      <c r="AJ127" s="889"/>
      <c r="AK127" s="889"/>
      <c r="AL127" s="1048"/>
      <c r="AW127" s="137">
        <f t="shared" si="7"/>
        <v>0</v>
      </c>
    </row>
    <row r="128" spans="1:52" s="195" customFormat="1" ht="12" hidden="1" customHeight="1">
      <c r="AJ128" s="889"/>
      <c r="AK128" s="889"/>
      <c r="AL128" s="1048"/>
      <c r="AW128" s="137">
        <f t="shared" si="7"/>
        <v>0</v>
      </c>
    </row>
    <row r="129" spans="1:52" ht="27.75" customHeight="1">
      <c r="A129" s="1643" t="s">
        <v>474</v>
      </c>
      <c r="B129" s="1643"/>
      <c r="C129" s="1643"/>
      <c r="D129" s="1643"/>
      <c r="E129" s="1643"/>
      <c r="F129" s="1643"/>
      <c r="G129" s="1643"/>
      <c r="H129" s="1643"/>
      <c r="I129" s="1643"/>
      <c r="J129" s="1643"/>
      <c r="K129" s="1643"/>
      <c r="L129" s="1643"/>
      <c r="AW129" s="137">
        <f t="shared" si="7"/>
        <v>0</v>
      </c>
    </row>
    <row r="130" spans="1:52" ht="12" customHeight="1">
      <c r="AW130" s="137">
        <f t="shared" si="7"/>
        <v>0</v>
      </c>
    </row>
    <row r="131" spans="1:52" s="195" customFormat="1" ht="51.75" customHeight="1">
      <c r="A131" s="1687" t="s">
        <v>429</v>
      </c>
      <c r="B131" s="1651" t="s">
        <v>430</v>
      </c>
      <c r="C131" s="1685" t="s">
        <v>445</v>
      </c>
      <c r="D131" s="1687" t="s">
        <v>446</v>
      </c>
      <c r="E131" s="1651"/>
      <c r="F131" s="1652"/>
      <c r="G131" s="1687" t="s">
        <v>447</v>
      </c>
      <c r="H131" s="1651"/>
      <c r="I131" s="1652"/>
      <c r="J131" s="1687" t="s">
        <v>433</v>
      </c>
      <c r="K131" s="1651"/>
      <c r="L131" s="1652"/>
      <c r="AJ131" s="889"/>
      <c r="AK131" s="889"/>
      <c r="AL131" s="1048"/>
      <c r="AW131" s="137">
        <f t="shared" si="7"/>
        <v>0</v>
      </c>
      <c r="AX131" s="137">
        <f>SUM(D134:F134)-SUBTOTAL(109,D134:F134)</f>
        <v>0</v>
      </c>
      <c r="AY131" s="137">
        <f>SUM(G134:I134)-SUBTOTAL(109,G134:I134)</f>
        <v>0</v>
      </c>
      <c r="AZ131" s="137">
        <f>SUM(J134:L134)-SUBTOTAL(109,J134:L134)</f>
        <v>0</v>
      </c>
    </row>
    <row r="132" spans="1:52" s="195" customFormat="1" ht="51">
      <c r="A132" s="1688"/>
      <c r="B132" s="1684"/>
      <c r="C132" s="1686"/>
      <c r="D132" s="332" t="s">
        <v>1117</v>
      </c>
      <c r="E132" s="1174" t="s">
        <v>1118</v>
      </c>
      <c r="F132" s="1175" t="s">
        <v>1119</v>
      </c>
      <c r="G132" s="332" t="s">
        <v>1117</v>
      </c>
      <c r="H132" s="1174" t="s">
        <v>1118</v>
      </c>
      <c r="I132" s="1175" t="s">
        <v>1119</v>
      </c>
      <c r="J132" s="332" t="s">
        <v>1117</v>
      </c>
      <c r="K132" s="1174" t="s">
        <v>1118</v>
      </c>
      <c r="L132" s="1175" t="s">
        <v>1119</v>
      </c>
      <c r="AJ132" s="889"/>
      <c r="AK132" s="889"/>
      <c r="AL132" s="1048"/>
      <c r="AW132" s="137">
        <f t="shared" si="7"/>
        <v>0</v>
      </c>
    </row>
    <row r="133" spans="1:52" s="195" customFormat="1" ht="15.75">
      <c r="A133" s="275" t="s">
        <v>6</v>
      </c>
      <c r="B133" s="253" t="s">
        <v>7</v>
      </c>
      <c r="C133" s="341" t="s">
        <v>8</v>
      </c>
      <c r="D133" s="335" t="s">
        <v>9</v>
      </c>
      <c r="E133" s="336" t="s">
        <v>10</v>
      </c>
      <c r="F133" s="337" t="s">
        <v>417</v>
      </c>
      <c r="G133" s="335" t="s">
        <v>416</v>
      </c>
      <c r="H133" s="253" t="s">
        <v>415</v>
      </c>
      <c r="I133" s="338" t="s">
        <v>414</v>
      </c>
      <c r="J133" s="275" t="s">
        <v>413</v>
      </c>
      <c r="K133" s="253" t="s">
        <v>418</v>
      </c>
      <c r="L133" s="338" t="s">
        <v>419</v>
      </c>
      <c r="AJ133" s="889"/>
      <c r="AK133" s="889"/>
      <c r="AL133" s="1048"/>
      <c r="AW133" s="137">
        <f t="shared" si="7"/>
        <v>0</v>
      </c>
    </row>
    <row r="134" spans="1:52" ht="27.75" customHeight="1">
      <c r="A134" s="225" t="s">
        <v>52</v>
      </c>
      <c r="B134" s="254" t="s">
        <v>6</v>
      </c>
      <c r="C134" s="312" t="s">
        <v>475</v>
      </c>
      <c r="D134" s="845" t="s">
        <v>412</v>
      </c>
      <c r="E134" s="1161" t="s">
        <v>412</v>
      </c>
      <c r="F134" s="1189" t="s">
        <v>412</v>
      </c>
      <c r="G134" s="845" t="s">
        <v>412</v>
      </c>
      <c r="H134" s="1161" t="s">
        <v>412</v>
      </c>
      <c r="I134" s="1189" t="s">
        <v>412</v>
      </c>
      <c r="J134" s="1160">
        <f>Титульный!V46+Титульный!W46+Титульный!X46</f>
        <v>3999.75</v>
      </c>
      <c r="K134" s="404"/>
      <c r="L134" s="405"/>
      <c r="AM134" s="119" t="s">
        <v>476</v>
      </c>
      <c r="AW134" s="137">
        <f t="shared" si="7"/>
        <v>0</v>
      </c>
    </row>
    <row r="135" spans="1:52" ht="27.75" customHeight="1">
      <c r="A135" s="243"/>
      <c r="B135" s="252"/>
      <c r="C135" s="343" t="s">
        <v>438</v>
      </c>
      <c r="D135" s="1162" t="str">
        <f>D134</f>
        <v>Х</v>
      </c>
      <c r="E135" s="1182" t="s">
        <v>412</v>
      </c>
      <c r="F135" s="1182" t="s">
        <v>412</v>
      </c>
      <c r="G135" s="1162" t="str">
        <f>G134</f>
        <v>Х</v>
      </c>
      <c r="H135" s="1182" t="s">
        <v>412</v>
      </c>
      <c r="I135" s="1182" t="s">
        <v>412</v>
      </c>
      <c r="J135" s="1162">
        <f>J134</f>
        <v>3999.75</v>
      </c>
      <c r="K135" s="1157">
        <f>K134</f>
        <v>0</v>
      </c>
      <c r="L135" s="1157">
        <f>L134</f>
        <v>0</v>
      </c>
      <c r="AW135" s="137">
        <f t="shared" si="7"/>
        <v>0</v>
      </c>
    </row>
  </sheetData>
  <mergeCells count="182">
    <mergeCell ref="AK47:AQ51"/>
    <mergeCell ref="D36:F36"/>
    <mergeCell ref="G36:I36"/>
    <mergeCell ref="J36:L36"/>
    <mergeCell ref="D37:F37"/>
    <mergeCell ref="G37:I37"/>
    <mergeCell ref="J37:L37"/>
    <mergeCell ref="D38:F38"/>
    <mergeCell ref="G38:I38"/>
    <mergeCell ref="J38:L38"/>
    <mergeCell ref="J33:L33"/>
    <mergeCell ref="D35:F35"/>
    <mergeCell ref="G35:I35"/>
    <mergeCell ref="J35:L35"/>
    <mergeCell ref="D87:F87"/>
    <mergeCell ref="G87:I87"/>
    <mergeCell ref="J87:L87"/>
    <mergeCell ref="D88:F88"/>
    <mergeCell ref="G88:I88"/>
    <mergeCell ref="J88:L88"/>
    <mergeCell ref="A82:L82"/>
    <mergeCell ref="A56:L56"/>
    <mergeCell ref="J75:L75"/>
    <mergeCell ref="G74:I74"/>
    <mergeCell ref="G75:I75"/>
    <mergeCell ref="D74:F74"/>
    <mergeCell ref="D75:F75"/>
    <mergeCell ref="A45:A46"/>
    <mergeCell ref="B45:B46"/>
    <mergeCell ref="C45:C46"/>
    <mergeCell ref="D45:F45"/>
    <mergeCell ref="A43:L43"/>
    <mergeCell ref="A71:L71"/>
    <mergeCell ref="J39:L39"/>
    <mergeCell ref="G29:I29"/>
    <mergeCell ref="G31:I31"/>
    <mergeCell ref="G30:I30"/>
    <mergeCell ref="G32:I32"/>
    <mergeCell ref="A25:L25"/>
    <mergeCell ref="G34:I34"/>
    <mergeCell ref="G39:I39"/>
    <mergeCell ref="D28:F28"/>
    <mergeCell ref="D29:F29"/>
    <mergeCell ref="D27:L27"/>
    <mergeCell ref="J28:L28"/>
    <mergeCell ref="J29:L29"/>
    <mergeCell ref="J30:L30"/>
    <mergeCell ref="D30:F30"/>
    <mergeCell ref="D31:F31"/>
    <mergeCell ref="D32:F32"/>
    <mergeCell ref="D34:F34"/>
    <mergeCell ref="J31:L31"/>
    <mergeCell ref="J32:L32"/>
    <mergeCell ref="J34:L34"/>
    <mergeCell ref="C27:C28"/>
    <mergeCell ref="G28:I28"/>
    <mergeCell ref="D33:F33"/>
    <mergeCell ref="G33:I33"/>
    <mergeCell ref="A7:L7"/>
    <mergeCell ref="A8:L8"/>
    <mergeCell ref="A9:L9"/>
    <mergeCell ref="A15:A16"/>
    <mergeCell ref="B15:B16"/>
    <mergeCell ref="C15:C16"/>
    <mergeCell ref="D15:F15"/>
    <mergeCell ref="G15:I15"/>
    <mergeCell ref="J15:L15"/>
    <mergeCell ref="A13:L13"/>
    <mergeCell ref="J131:L131"/>
    <mergeCell ref="AR15:AS17"/>
    <mergeCell ref="AN86:AN99"/>
    <mergeCell ref="A108:A109"/>
    <mergeCell ref="B108:B109"/>
    <mergeCell ref="C108:C109"/>
    <mergeCell ref="AO61:AQ63"/>
    <mergeCell ref="A73:A74"/>
    <mergeCell ref="B73:B74"/>
    <mergeCell ref="C73:C74"/>
    <mergeCell ref="A84:A85"/>
    <mergeCell ref="B84:B85"/>
    <mergeCell ref="C84:C85"/>
    <mergeCell ref="G45:I45"/>
    <mergeCell ref="J45:L45"/>
    <mergeCell ref="A58:A59"/>
    <mergeCell ref="B58:B59"/>
    <mergeCell ref="C58:C59"/>
    <mergeCell ref="D58:F58"/>
    <mergeCell ref="G58:I58"/>
    <mergeCell ref="J58:L58"/>
    <mergeCell ref="A27:A28"/>
    <mergeCell ref="B27:B28"/>
    <mergeCell ref="A131:A132"/>
    <mergeCell ref="B131:B132"/>
    <mergeCell ref="C131:C132"/>
    <mergeCell ref="D131:F131"/>
    <mergeCell ref="A119:A120"/>
    <mergeCell ref="B119:B120"/>
    <mergeCell ref="C119:C120"/>
    <mergeCell ref="D119:F119"/>
    <mergeCell ref="G119:I119"/>
    <mergeCell ref="G131:I131"/>
    <mergeCell ref="D98:F98"/>
    <mergeCell ref="D89:F89"/>
    <mergeCell ref="D90:F90"/>
    <mergeCell ref="D91:F91"/>
    <mergeCell ref="D92:F92"/>
    <mergeCell ref="D93:F93"/>
    <mergeCell ref="A106:L106"/>
    <mergeCell ref="D77:F77"/>
    <mergeCell ref="D78:F78"/>
    <mergeCell ref="D84:L84"/>
    <mergeCell ref="D85:F85"/>
    <mergeCell ref="G85:I85"/>
    <mergeCell ref="J85:L85"/>
    <mergeCell ref="D86:F86"/>
    <mergeCell ref="G86:I86"/>
    <mergeCell ref="J86:L86"/>
    <mergeCell ref="J77:L77"/>
    <mergeCell ref="J78:L78"/>
    <mergeCell ref="G77:I77"/>
    <mergeCell ref="G78:I78"/>
    <mergeCell ref="G98:I98"/>
    <mergeCell ref="G99:I99"/>
    <mergeCell ref="G102:I102"/>
    <mergeCell ref="J95:L95"/>
    <mergeCell ref="G96:I96"/>
    <mergeCell ref="G97:I97"/>
    <mergeCell ref="D39:F39"/>
    <mergeCell ref="D94:F94"/>
    <mergeCell ref="D95:F95"/>
    <mergeCell ref="D96:F96"/>
    <mergeCell ref="D97:F97"/>
    <mergeCell ref="D73:L73"/>
    <mergeCell ref="J76:L76"/>
    <mergeCell ref="G76:I76"/>
    <mergeCell ref="D76:F76"/>
    <mergeCell ref="J96:L96"/>
    <mergeCell ref="J74:L74"/>
    <mergeCell ref="J94:L94"/>
    <mergeCell ref="J97:L97"/>
    <mergeCell ref="J98:L98"/>
    <mergeCell ref="J89:L89"/>
    <mergeCell ref="J90:L90"/>
    <mergeCell ref="J91:L91"/>
    <mergeCell ref="J92:L92"/>
    <mergeCell ref="J93:L93"/>
    <mergeCell ref="G110:I110"/>
    <mergeCell ref="J110:L110"/>
    <mergeCell ref="J99:L99"/>
    <mergeCell ref="J102:L102"/>
    <mergeCell ref="D108:L108"/>
    <mergeCell ref="D109:F109"/>
    <mergeCell ref="G109:I109"/>
    <mergeCell ref="J109:L109"/>
    <mergeCell ref="D110:F110"/>
    <mergeCell ref="D99:F99"/>
    <mergeCell ref="D102:F102"/>
    <mergeCell ref="G89:I89"/>
    <mergeCell ref="G90:I90"/>
    <mergeCell ref="G91:I91"/>
    <mergeCell ref="G92:I92"/>
    <mergeCell ref="G93:I93"/>
    <mergeCell ref="G94:I94"/>
    <mergeCell ref="G95:I95"/>
    <mergeCell ref="D100:F100"/>
    <mergeCell ref="D101:F101"/>
    <mergeCell ref="G100:I100"/>
    <mergeCell ref="J100:L100"/>
    <mergeCell ref="G101:I101"/>
    <mergeCell ref="J101:L101"/>
    <mergeCell ref="A117:L117"/>
    <mergeCell ref="A129:L129"/>
    <mergeCell ref="D111:F111"/>
    <mergeCell ref="D112:F112"/>
    <mergeCell ref="D113:F113"/>
    <mergeCell ref="G111:I111"/>
    <mergeCell ref="G112:I112"/>
    <mergeCell ref="G113:I113"/>
    <mergeCell ref="J111:L111"/>
    <mergeCell ref="J112:L112"/>
    <mergeCell ref="J113:L113"/>
    <mergeCell ref="J119:L119"/>
  </mergeCells>
  <conditionalFormatting sqref="D18:L21 D48:L52 D61:L67 D76:L78 D111:L113 D122:L125 D134:L135 D30:L39 D87:L102">
    <cfRule type="cellIs" dxfId="53" priority="575" operator="lessThan">
      <formula>0</formula>
    </cfRule>
  </conditionalFormatting>
  <pageMargins left="0.19685039370078741" right="0.19685039370078741" top="0.74803149606299213" bottom="0.19685039370078741" header="0.31496062992125984" footer="0.31496062992125984"/>
  <pageSetup paperSize="9" scale="60" fitToHeight="6" orientation="landscape" r:id="rId1"/>
  <rowBreaks count="3" manualBreakCount="3">
    <brk id="39" max="11" man="1"/>
    <brk id="70" max="11" man="1"/>
    <brk id="102" max="11" man="1"/>
  </rowBreaks>
  <extLst>
    <ext xmlns:x14="http://schemas.microsoft.com/office/spreadsheetml/2009/9/main" uri="{78C0D931-6437-407d-A8EE-F0AAD7539E65}">
      <x14:conditionalFormattings>
        <x14:conditionalFormatting xmlns:xm="http://schemas.microsoft.com/office/excel/2006/main">
          <x14:cfRule type="expression" priority="531" stopIfTrue="1" id="{EE88F9A1-D1C0-464F-9551-91AB943A81F0}">
            <xm:f>Титульный!$Z$1="скрыть"</xm:f>
            <x14:dxf>
              <fill>
                <patternFill patternType="none">
                  <bgColor auto="1"/>
                </patternFill>
              </fill>
            </x14:dxf>
          </x14:cfRule>
          <xm:sqref>A1:L1048576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codeName="Лист7">
    <tabColor theme="8" tint="0.59999389629810485"/>
  </sheetPr>
  <dimension ref="A1:AA87"/>
  <sheetViews>
    <sheetView view="pageBreakPreview" zoomScale="85" zoomScaleNormal="67" zoomScaleSheetLayoutView="85" workbookViewId="0">
      <selection activeCell="A40" sqref="A40:XFD41"/>
    </sheetView>
  </sheetViews>
  <sheetFormatPr defaultRowHeight="15.75"/>
  <cols>
    <col min="1" max="1" width="11.28515625" style="255" customWidth="1"/>
    <col min="2" max="2" width="4.85546875" style="255" customWidth="1"/>
    <col min="3" max="3" width="27.140625" customWidth="1"/>
    <col min="4" max="10" width="15.5703125" customWidth="1"/>
    <col min="11" max="12" width="14.42578125" style="851" customWidth="1"/>
    <col min="21" max="21" width="12.7109375" bestFit="1" customWidth="1"/>
    <col min="27" max="27" width="18" customWidth="1"/>
  </cols>
  <sheetData>
    <row r="1" spans="1:27" s="119" customFormat="1" ht="59.25" customHeight="1">
      <c r="A1" s="1749" t="s">
        <v>726</v>
      </c>
      <c r="B1" s="1749"/>
      <c r="C1" s="1749"/>
      <c r="D1" s="1749"/>
      <c r="E1" s="1749"/>
      <c r="F1" s="1749"/>
      <c r="G1" s="1749"/>
      <c r="H1" s="1749"/>
      <c r="I1" s="1749"/>
      <c r="J1" s="1749"/>
      <c r="K1" s="866"/>
      <c r="L1" s="866"/>
      <c r="M1" s="126"/>
      <c r="N1" s="126"/>
    </row>
    <row r="2" spans="1:27" s="119" customFormat="1" ht="21" customHeight="1">
      <c r="A2" s="1775" t="str">
        <f>доходы!A9</f>
        <v>на 2025 год и плановый период 2026 и 2027 годов</v>
      </c>
      <c r="B2" s="1775"/>
      <c r="C2" s="1775"/>
      <c r="D2" s="1775"/>
      <c r="E2" s="1775"/>
      <c r="F2" s="1775"/>
      <c r="G2" s="1775"/>
      <c r="H2" s="1775"/>
      <c r="I2" s="1775"/>
      <c r="J2" s="1775"/>
      <c r="K2" s="866"/>
      <c r="L2" s="866"/>
      <c r="M2" s="126"/>
      <c r="N2" s="126"/>
    </row>
    <row r="3" spans="1:27" s="119" customFormat="1">
      <c r="A3" s="281"/>
      <c r="B3" s="136"/>
      <c r="K3" s="304"/>
      <c r="L3" s="304"/>
    </row>
    <row r="4" spans="1:27" s="119" customFormat="1" ht="27.75" customHeight="1">
      <c r="A4" s="1776" t="s">
        <v>477</v>
      </c>
      <c r="B4" s="1776"/>
      <c r="C4" s="1776"/>
      <c r="D4" s="1776"/>
      <c r="E4" s="1776"/>
      <c r="F4" s="1776"/>
      <c r="G4" s="1776"/>
      <c r="H4" s="1776"/>
      <c r="I4" s="1776"/>
      <c r="J4" s="1776"/>
      <c r="K4" s="866"/>
      <c r="L4" s="866"/>
      <c r="M4" s="215"/>
      <c r="N4" s="215"/>
    </row>
    <row r="5" spans="1:27" s="119" customFormat="1" ht="27.75" customHeight="1">
      <c r="A5" s="1643" t="s">
        <v>478</v>
      </c>
      <c r="B5" s="1643"/>
      <c r="C5" s="1643"/>
      <c r="D5" s="1643"/>
      <c r="E5" s="1643"/>
      <c r="F5" s="1643"/>
      <c r="G5" s="1643"/>
      <c r="H5" s="1643"/>
      <c r="I5" s="1643"/>
      <c r="J5" s="1643"/>
      <c r="K5" s="304"/>
      <c r="L5" s="304"/>
    </row>
    <row r="6" spans="1:27" s="119" customFormat="1">
      <c r="A6" s="136"/>
      <c r="B6" s="136"/>
      <c r="K6" s="304"/>
      <c r="L6" s="304"/>
      <c r="M6" s="127"/>
    </row>
    <row r="7" spans="1:27" s="119" customFormat="1" ht="35.25" customHeight="1">
      <c r="A7" s="1687" t="s">
        <v>479</v>
      </c>
      <c r="B7" s="1651" t="s">
        <v>430</v>
      </c>
      <c r="C7" s="1726" t="s">
        <v>480</v>
      </c>
      <c r="D7" s="1777" t="s">
        <v>1114</v>
      </c>
      <c r="E7" s="1778"/>
      <c r="F7" s="1778"/>
      <c r="G7" s="1778"/>
      <c r="H7" s="1778"/>
      <c r="I7" s="1778"/>
      <c r="J7" s="1779"/>
      <c r="K7" s="304"/>
      <c r="L7" s="304"/>
      <c r="M7" s="128"/>
    </row>
    <row r="8" spans="1:27" s="119" customFormat="1" ht="13.15" customHeight="1">
      <c r="A8" s="1688"/>
      <c r="B8" s="1684"/>
      <c r="C8" s="1727"/>
      <c r="D8" s="1732" t="s">
        <v>481</v>
      </c>
      <c r="E8" s="1735" t="s">
        <v>482</v>
      </c>
      <c r="F8" s="1736"/>
      <c r="G8" s="1736"/>
      <c r="H8" s="1737"/>
      <c r="I8" s="1738" t="s">
        <v>483</v>
      </c>
      <c r="J8" s="1741" t="s">
        <v>484</v>
      </c>
      <c r="K8" s="304"/>
      <c r="L8" s="863"/>
      <c r="M8" s="129"/>
    </row>
    <row r="9" spans="1:27" s="119" customFormat="1">
      <c r="A9" s="1688"/>
      <c r="B9" s="1684"/>
      <c r="C9" s="1727"/>
      <c r="D9" s="1733"/>
      <c r="E9" s="1744" t="s">
        <v>485</v>
      </c>
      <c r="F9" s="1746" t="s">
        <v>30</v>
      </c>
      <c r="G9" s="1747"/>
      <c r="H9" s="1748"/>
      <c r="I9" s="1739"/>
      <c r="J9" s="1742"/>
      <c r="K9" s="867"/>
      <c r="L9" s="304"/>
      <c r="M9" s="129"/>
      <c r="N9" s="195"/>
      <c r="O9" s="195"/>
      <c r="P9" s="195"/>
      <c r="Q9" s="195"/>
      <c r="R9" s="195"/>
      <c r="S9" s="195"/>
    </row>
    <row r="10" spans="1:27" s="119" customFormat="1" ht="52.5" customHeight="1">
      <c r="A10" s="1724"/>
      <c r="B10" s="1725"/>
      <c r="C10" s="1728"/>
      <c r="D10" s="1734"/>
      <c r="E10" s="1745"/>
      <c r="F10" s="250" t="s">
        <v>486</v>
      </c>
      <c r="G10" s="250" t="s">
        <v>487</v>
      </c>
      <c r="H10" s="288" t="s">
        <v>488</v>
      </c>
      <c r="I10" s="1740"/>
      <c r="J10" s="1743"/>
      <c r="K10" s="868"/>
      <c r="L10" s="1774"/>
      <c r="M10" s="1774"/>
      <c r="N10" s="1774"/>
      <c r="O10" s="1774"/>
      <c r="P10" s="1774"/>
      <c r="Q10" s="1774"/>
      <c r="R10" s="1774"/>
      <c r="S10" s="1774"/>
      <c r="Z10" s="137">
        <f t="shared" ref="Z10:Z57" si="0">SUM(AA10:BC10)</f>
        <v>0</v>
      </c>
      <c r="AA10" s="137">
        <f>SUM(J12:J15)-SUBTOTAL(109,J12:J15)</f>
        <v>0</v>
      </c>
    </row>
    <row r="11" spans="1:27" s="144" customFormat="1" ht="27" customHeight="1">
      <c r="A11" s="292" t="s">
        <v>6</v>
      </c>
      <c r="B11" s="285" t="s">
        <v>7</v>
      </c>
      <c r="C11" s="287" t="s">
        <v>8</v>
      </c>
      <c r="D11" s="293">
        <v>4</v>
      </c>
      <c r="E11" s="292" t="s">
        <v>607</v>
      </c>
      <c r="F11" s="285">
        <v>6</v>
      </c>
      <c r="G11" s="285">
        <v>7</v>
      </c>
      <c r="H11" s="287">
        <v>8</v>
      </c>
      <c r="I11" s="294">
        <v>9</v>
      </c>
      <c r="J11" s="295" t="s">
        <v>489</v>
      </c>
      <c r="K11" s="867"/>
      <c r="L11" s="869"/>
      <c r="M11" s="860"/>
      <c r="N11" s="860"/>
      <c r="O11" s="860"/>
      <c r="P11" s="860"/>
      <c r="Q11" s="860"/>
      <c r="R11" s="860"/>
      <c r="S11" s="860"/>
      <c r="Z11" s="137">
        <f t="shared" si="0"/>
        <v>0</v>
      </c>
    </row>
    <row r="12" spans="1:27" s="280" customFormat="1" ht="27.75" customHeight="1">
      <c r="A12" s="289" t="s">
        <v>59</v>
      </c>
      <c r="B12" s="290" t="s">
        <v>6</v>
      </c>
      <c r="C12" s="291" t="s">
        <v>272</v>
      </c>
      <c r="D12" s="819">
        <f>Титульный!L10</f>
        <v>4.9000000000000004</v>
      </c>
      <c r="E12" s="820">
        <f>IFERROR(ROUND(J12/D12/12*1.8/2.3,2),0)</f>
        <v>140506.59</v>
      </c>
      <c r="F12" s="821">
        <f>ROUND(E12*0.75/1.8,2)</f>
        <v>58544.41</v>
      </c>
      <c r="G12" s="821">
        <f>E12-F12-H12</f>
        <v>62447.37999999999</v>
      </c>
      <c r="H12" s="822">
        <f>ROUND(F12*0.25/0.75,2)</f>
        <v>19514.8</v>
      </c>
      <c r="I12" s="823">
        <f>J12-(D12*E12*12)</f>
        <v>2294940.6879999992</v>
      </c>
      <c r="J12" s="824">
        <f>IFERROR(ROUND(Титульный!M10/Титульный!$M$14*$J$16,2),0)</f>
        <v>10556728.18</v>
      </c>
      <c r="K12" s="861"/>
      <c r="L12" s="869"/>
      <c r="M12" s="860"/>
      <c r="N12" s="860"/>
      <c r="O12" s="860"/>
      <c r="P12" s="860"/>
      <c r="Q12" s="860"/>
      <c r="R12" s="860"/>
      <c r="S12" s="860"/>
      <c r="U12" s="279"/>
      <c r="Z12" s="137">
        <f t="shared" si="0"/>
        <v>0</v>
      </c>
    </row>
    <row r="13" spans="1:27" s="280" customFormat="1" ht="27.75" customHeight="1">
      <c r="A13" s="188" t="s">
        <v>59</v>
      </c>
      <c r="B13" s="185" t="s">
        <v>7</v>
      </c>
      <c r="C13" s="270" t="s">
        <v>273</v>
      </c>
      <c r="D13" s="825">
        <f>Титульный!L11</f>
        <v>67.8</v>
      </c>
      <c r="E13" s="826">
        <f>IFERROR(ROUND(J13/D13/12*1.8/2.3,2),0)</f>
        <v>83493.789999999994</v>
      </c>
      <c r="F13" s="827">
        <f>ROUND(E13*0.65/1.8,2)</f>
        <v>30150.54</v>
      </c>
      <c r="G13" s="827">
        <f>ROUND(E13*0.8/1.8,2)</f>
        <v>37108.35</v>
      </c>
      <c r="H13" s="828">
        <f>ROUND(F13*0.35/0.65,2)</f>
        <v>16234.91</v>
      </c>
      <c r="I13" s="829">
        <f>J13-(D13*E13*12)</f>
        <v>18869596.906000003</v>
      </c>
      <c r="J13" s="830">
        <f>IFERROR(ROUND(Титульный!M11/Титульный!$M$14*$J$16,2),0)</f>
        <v>86800144.450000003</v>
      </c>
      <c r="K13" s="861"/>
      <c r="L13" s="869"/>
      <c r="M13" s="860"/>
      <c r="N13" s="860"/>
      <c r="O13" s="860"/>
      <c r="P13" s="860"/>
      <c r="Q13" s="860"/>
      <c r="R13" s="860"/>
      <c r="S13" s="860"/>
      <c r="U13" s="279"/>
      <c r="Z13" s="137">
        <f t="shared" si="0"/>
        <v>0</v>
      </c>
    </row>
    <row r="14" spans="1:27" s="280" customFormat="1" ht="27.75" customHeight="1">
      <c r="A14" s="188" t="s">
        <v>59</v>
      </c>
      <c r="B14" s="185" t="s">
        <v>8</v>
      </c>
      <c r="C14" s="270" t="s">
        <v>490</v>
      </c>
      <c r="D14" s="825">
        <f>Титульный!L12</f>
        <v>0</v>
      </c>
      <c r="E14" s="826">
        <f>IFERROR(ROUND(J14/D14/12*1.8/2.3,2),0)</f>
        <v>0</v>
      </c>
      <c r="F14" s="827">
        <f>ROUND(E14*0.75/1.8,2)</f>
        <v>0</v>
      </c>
      <c r="G14" s="827">
        <f>ROUND(E14*0.8/1.8,2)</f>
        <v>0</v>
      </c>
      <c r="H14" s="828">
        <f>ROUND(F14*0.35/0.65,2)</f>
        <v>0</v>
      </c>
      <c r="I14" s="829">
        <f>J14-(D14*E14*12)</f>
        <v>19940598.16</v>
      </c>
      <c r="J14" s="830">
        <f>IFERROR(ROUND(Титульный!M12/Титульный!$M$14*$J$16,2),0)</f>
        <v>19940598.16</v>
      </c>
      <c r="K14" s="861"/>
      <c r="L14" s="869"/>
      <c r="M14" s="860"/>
      <c r="N14" s="860"/>
      <c r="O14" s="860"/>
      <c r="P14" s="860"/>
      <c r="Q14" s="860"/>
      <c r="R14" s="860"/>
      <c r="S14" s="860"/>
      <c r="U14" s="279"/>
      <c r="Z14" s="137">
        <f t="shared" si="0"/>
        <v>0</v>
      </c>
    </row>
    <row r="15" spans="1:27" s="280" customFormat="1" ht="27.75" customHeight="1">
      <c r="A15" s="283" t="s">
        <v>59</v>
      </c>
      <c r="B15" s="284" t="s">
        <v>9</v>
      </c>
      <c r="C15" s="271" t="s">
        <v>491</v>
      </c>
      <c r="D15" s="831">
        <f>Титульный!L13</f>
        <v>29.2</v>
      </c>
      <c r="E15" s="832">
        <f>IFERROR(ROUND(J15/D15/12*1.8/2.3,2),0)</f>
        <v>0</v>
      </c>
      <c r="F15" s="833">
        <f>ROUND(E15*0.75/1.8,2)</f>
        <v>0</v>
      </c>
      <c r="G15" s="833">
        <f>ROUND(E15*0.8/1.8,2)</f>
        <v>0</v>
      </c>
      <c r="H15" s="834">
        <f>ROUND(F15*0.25/0.75,2)</f>
        <v>0</v>
      </c>
      <c r="I15" s="835">
        <f>J15-(D15*E15*12)</f>
        <v>0</v>
      </c>
      <c r="J15" s="836">
        <f>IFERROR(ROUND(Титульный!M13/Титульный!$M$14*$J$16,2),0)</f>
        <v>0</v>
      </c>
      <c r="K15" s="861"/>
      <c r="L15" s="869"/>
      <c r="M15" s="860"/>
      <c r="N15" s="860"/>
      <c r="O15" s="860"/>
      <c r="P15" s="860"/>
      <c r="Q15" s="860"/>
      <c r="R15" s="860"/>
      <c r="S15" s="860"/>
      <c r="U15" s="279"/>
      <c r="Z15" s="137">
        <f t="shared" si="0"/>
        <v>0</v>
      </c>
      <c r="AA15" s="700"/>
    </row>
    <row r="16" spans="1:27" s="280" customFormat="1" ht="27.75" customHeight="1">
      <c r="A16" s="163">
        <v>111</v>
      </c>
      <c r="B16" s="164"/>
      <c r="C16" s="286" t="s">
        <v>554</v>
      </c>
      <c r="D16" s="837">
        <f>D12+D13+D14+D15</f>
        <v>101.9</v>
      </c>
      <c r="E16" s="838">
        <f>IFERROR(ROUND(J16/D16/12*1.8/2.3,2),0)</f>
        <v>75071.98</v>
      </c>
      <c r="F16" s="839">
        <f>ROUND(E16*0.75/1.8,2)</f>
        <v>31279.99</v>
      </c>
      <c r="G16" s="839">
        <f>ROUND(E16*0.8/1.8,2)</f>
        <v>33365.32</v>
      </c>
      <c r="H16" s="840">
        <f>ROUND(F16*0.25/0.75,2)</f>
        <v>10426.66</v>
      </c>
      <c r="I16" s="841">
        <f>SUM(I12:I15)</f>
        <v>41105135.754000008</v>
      </c>
      <c r="J16" s="842">
        <f>SUMIFS(Титульный!$O$69:$O$292,Титульный!$L$69:$L$292,'111'!K16,Титульный!$N$69:$N$292,'111'!L16)</f>
        <v>117297470.79000001</v>
      </c>
      <c r="K16" s="862">
        <v>111</v>
      </c>
      <c r="L16" s="863">
        <v>211</v>
      </c>
      <c r="M16" s="860"/>
      <c r="N16" s="860"/>
      <c r="O16" s="860"/>
      <c r="P16" s="860"/>
      <c r="Q16" s="860"/>
      <c r="R16" s="860"/>
      <c r="S16" s="860"/>
      <c r="Z16" s="137">
        <f t="shared" si="0"/>
        <v>0</v>
      </c>
    </row>
    <row r="17" spans="1:27" s="119" customFormat="1">
      <c r="A17" s="136"/>
      <c r="B17" s="136"/>
      <c r="K17" s="304"/>
      <c r="L17" s="304"/>
      <c r="Z17" s="137">
        <f t="shared" si="0"/>
        <v>0</v>
      </c>
    </row>
    <row r="18" spans="1:27" s="119" customFormat="1" ht="35.25" customHeight="1">
      <c r="A18" s="1687" t="s">
        <v>479</v>
      </c>
      <c r="B18" s="1651" t="s">
        <v>430</v>
      </c>
      <c r="C18" s="1726" t="s">
        <v>480</v>
      </c>
      <c r="D18" s="1729" t="s">
        <v>1115</v>
      </c>
      <c r="E18" s="1730"/>
      <c r="F18" s="1730"/>
      <c r="G18" s="1730"/>
      <c r="H18" s="1730"/>
      <c r="I18" s="1730"/>
      <c r="J18" s="1731"/>
      <c r="K18" s="304"/>
      <c r="L18" s="304"/>
      <c r="M18" s="128"/>
      <c r="Z18" s="137">
        <f t="shared" si="0"/>
        <v>0</v>
      </c>
    </row>
    <row r="19" spans="1:27" s="119" customFormat="1" ht="13.15" customHeight="1">
      <c r="A19" s="1688"/>
      <c r="B19" s="1684"/>
      <c r="C19" s="1727"/>
      <c r="D19" s="1732" t="s">
        <v>481</v>
      </c>
      <c r="E19" s="1735" t="s">
        <v>482</v>
      </c>
      <c r="F19" s="1736"/>
      <c r="G19" s="1736"/>
      <c r="H19" s="1737"/>
      <c r="I19" s="1738" t="s">
        <v>483</v>
      </c>
      <c r="J19" s="1741" t="s">
        <v>484</v>
      </c>
      <c r="K19" s="304"/>
      <c r="L19" s="863"/>
      <c r="M19" s="129"/>
      <c r="Z19" s="137">
        <f t="shared" si="0"/>
        <v>0</v>
      </c>
    </row>
    <row r="20" spans="1:27" s="119" customFormat="1" ht="12.75" customHeight="1">
      <c r="A20" s="1688"/>
      <c r="B20" s="1684"/>
      <c r="C20" s="1727"/>
      <c r="D20" s="1733"/>
      <c r="E20" s="1744" t="s">
        <v>485</v>
      </c>
      <c r="F20" s="1746" t="s">
        <v>30</v>
      </c>
      <c r="G20" s="1747"/>
      <c r="H20" s="1748"/>
      <c r="I20" s="1739"/>
      <c r="J20" s="1742"/>
      <c r="K20" s="304"/>
      <c r="L20" s="870"/>
      <c r="M20" s="129"/>
      <c r="Z20" s="137">
        <f t="shared" si="0"/>
        <v>0</v>
      </c>
    </row>
    <row r="21" spans="1:27" s="119" customFormat="1" ht="52.5" customHeight="1">
      <c r="A21" s="1724"/>
      <c r="B21" s="1725"/>
      <c r="C21" s="1728"/>
      <c r="D21" s="1734"/>
      <c r="E21" s="1745"/>
      <c r="F21" s="250" t="s">
        <v>486</v>
      </c>
      <c r="G21" s="250" t="s">
        <v>487</v>
      </c>
      <c r="H21" s="288" t="s">
        <v>488</v>
      </c>
      <c r="I21" s="1740"/>
      <c r="J21" s="1743"/>
      <c r="K21" s="869"/>
      <c r="L21" s="870"/>
      <c r="Z21" s="137">
        <f t="shared" si="0"/>
        <v>0</v>
      </c>
      <c r="AA21" s="137">
        <f>SUM(J23:J26)-SUBTOTAL(109,J23:J26)</f>
        <v>0</v>
      </c>
    </row>
    <row r="22" spans="1:27" s="119" customFormat="1" ht="26.25" customHeight="1">
      <c r="A22" s="292" t="s">
        <v>6</v>
      </c>
      <c r="B22" s="285" t="s">
        <v>7</v>
      </c>
      <c r="C22" s="287" t="s">
        <v>8</v>
      </c>
      <c r="D22" s="293">
        <v>4</v>
      </c>
      <c r="E22" s="292" t="s">
        <v>607</v>
      </c>
      <c r="F22" s="285">
        <v>6</v>
      </c>
      <c r="G22" s="285">
        <v>7</v>
      </c>
      <c r="H22" s="287">
        <v>8</v>
      </c>
      <c r="I22" s="294">
        <v>9</v>
      </c>
      <c r="J22" s="295" t="s">
        <v>489</v>
      </c>
      <c r="K22" s="304"/>
      <c r="L22" s="304"/>
      <c r="N22" s="1723"/>
      <c r="O22" s="1723"/>
      <c r="P22" s="1723"/>
      <c r="Q22" s="1723"/>
      <c r="R22" s="1723"/>
      <c r="S22" s="1723"/>
      <c r="T22" s="1723"/>
      <c r="Z22" s="137">
        <f t="shared" si="0"/>
        <v>0</v>
      </c>
    </row>
    <row r="23" spans="1:27" s="280" customFormat="1" ht="27.75" customHeight="1">
      <c r="A23" s="289" t="s">
        <v>59</v>
      </c>
      <c r="B23" s="290" t="s">
        <v>6</v>
      </c>
      <c r="C23" s="291" t="s">
        <v>272</v>
      </c>
      <c r="D23" s="819">
        <f>D12</f>
        <v>4.9000000000000004</v>
      </c>
      <c r="E23" s="820">
        <f>IFERROR(ROUND(J23/D23/12*1.8/2.3,2),0)</f>
        <v>139904.09</v>
      </c>
      <c r="F23" s="821">
        <f>ROUND(E23*0.75/1.8,2)</f>
        <v>58293.37</v>
      </c>
      <c r="G23" s="821">
        <f>E23-F23-H23</f>
        <v>62179.600000000006</v>
      </c>
      <c r="H23" s="822">
        <f>ROUND(F23*0.25/0.75,2)</f>
        <v>19431.12</v>
      </c>
      <c r="I23" s="823">
        <f>IFERROR(J23-(D23*E23*12),0)</f>
        <v>2285100.0580000002</v>
      </c>
      <c r="J23" s="824">
        <f>IFERROR(ROUND(J12*$J$27/$J$16,2),0)</f>
        <v>10511460.550000001</v>
      </c>
      <c r="K23" s="863"/>
      <c r="L23" s="863"/>
      <c r="N23" s="1723"/>
      <c r="O23" s="1723"/>
      <c r="P23" s="1723"/>
      <c r="Q23" s="1723"/>
      <c r="R23" s="1723"/>
      <c r="S23" s="1723"/>
      <c r="T23" s="1723"/>
      <c r="Z23" s="137">
        <f t="shared" si="0"/>
        <v>0</v>
      </c>
    </row>
    <row r="24" spans="1:27" s="280" customFormat="1" ht="27.75" customHeight="1">
      <c r="A24" s="188" t="s">
        <v>59</v>
      </c>
      <c r="B24" s="185" t="s">
        <v>7</v>
      </c>
      <c r="C24" s="270" t="s">
        <v>273</v>
      </c>
      <c r="D24" s="825">
        <f>D13</f>
        <v>67.8</v>
      </c>
      <c r="E24" s="826">
        <f>IFERROR(ROUND(J24/D24/12*1.8/2.3,2),0)</f>
        <v>83135.77</v>
      </c>
      <c r="F24" s="827">
        <f>ROUND(E24*0.65/1.8,2)</f>
        <v>30021.25</v>
      </c>
      <c r="G24" s="827">
        <f>ROUND(E24*0.8/1.8,2)</f>
        <v>36949.230000000003</v>
      </c>
      <c r="H24" s="828">
        <f>ROUND(F24*0.35/0.65,2)</f>
        <v>16165.29</v>
      </c>
      <c r="I24" s="829">
        <f>IFERROR(J24-(D24*E24*12),0)</f>
        <v>18788679.827999994</v>
      </c>
      <c r="J24" s="830">
        <f>IFERROR(ROUND(J13*$J$27/$J$16,2),0)</f>
        <v>86427942.299999997</v>
      </c>
      <c r="K24" s="863"/>
      <c r="L24" s="863"/>
      <c r="N24" s="1723"/>
      <c r="O24" s="1723"/>
      <c r="P24" s="1723"/>
      <c r="Q24" s="1723"/>
      <c r="R24" s="1723"/>
      <c r="S24" s="1723"/>
      <c r="T24" s="1723"/>
      <c r="Z24" s="137">
        <f t="shared" si="0"/>
        <v>0</v>
      </c>
    </row>
    <row r="25" spans="1:27" s="280" customFormat="1" ht="27.75" customHeight="1">
      <c r="A25" s="188" t="s">
        <v>59</v>
      </c>
      <c r="B25" s="185" t="s">
        <v>8</v>
      </c>
      <c r="C25" s="270" t="s">
        <v>490</v>
      </c>
      <c r="D25" s="825">
        <f>D14</f>
        <v>0</v>
      </c>
      <c r="E25" s="826">
        <f>IFERROR(ROUND(J25/D25/12*1.8/2.3,2),0)</f>
        <v>0</v>
      </c>
      <c r="F25" s="827">
        <f>ROUND(E25*0.75/1.8,2)</f>
        <v>0</v>
      </c>
      <c r="G25" s="827">
        <f>ROUND(E25*0.8/1.8,2)</f>
        <v>0</v>
      </c>
      <c r="H25" s="828">
        <f>ROUND(F25*0.35/0.65,2)</f>
        <v>0</v>
      </c>
      <c r="I25" s="829">
        <f>IFERROR(J25-(D25*E25*12),0)</f>
        <v>19855092.16</v>
      </c>
      <c r="J25" s="830">
        <f>IFERROR(ROUND(J14*$J$27/$J$16,2),0)</f>
        <v>19855092.16</v>
      </c>
      <c r="K25" s="863"/>
      <c r="L25" s="863"/>
      <c r="Z25" s="137">
        <f t="shared" si="0"/>
        <v>0</v>
      </c>
    </row>
    <row r="26" spans="1:27" s="280" customFormat="1" ht="27.75" customHeight="1">
      <c r="A26" s="283" t="s">
        <v>59</v>
      </c>
      <c r="B26" s="284" t="s">
        <v>9</v>
      </c>
      <c r="C26" s="271" t="s">
        <v>491</v>
      </c>
      <c r="D26" s="831">
        <f>D15</f>
        <v>29.2</v>
      </c>
      <c r="E26" s="832">
        <f>IFERROR(ROUND(J26/D26/12*1.8/2.3,2),0)</f>
        <v>0</v>
      </c>
      <c r="F26" s="833">
        <f>ROUND(E26*0.75/1.8,2)</f>
        <v>0</v>
      </c>
      <c r="G26" s="833">
        <f>ROUND(E26*0.8/1.8,2)</f>
        <v>0</v>
      </c>
      <c r="H26" s="834">
        <f>ROUND(F26*0.25/0.75,2)</f>
        <v>0</v>
      </c>
      <c r="I26" s="835">
        <f>IFERROR(J26-(D26*E26*12),0)</f>
        <v>-9.9999941885471344E-3</v>
      </c>
      <c r="J26" s="836">
        <f>J27-J23-J24-J25</f>
        <v>-9.9999941885471344E-3</v>
      </c>
      <c r="K26" s="863"/>
      <c r="L26" s="863"/>
      <c r="Z26" s="137">
        <f t="shared" si="0"/>
        <v>0</v>
      </c>
      <c r="AA26" s="700"/>
    </row>
    <row r="27" spans="1:27" s="280" customFormat="1" ht="27.75" customHeight="1">
      <c r="A27" s="163">
        <v>111</v>
      </c>
      <c r="B27" s="164"/>
      <c r="C27" s="286" t="s">
        <v>438</v>
      </c>
      <c r="D27" s="837">
        <f>D23+D24+D25+D26</f>
        <v>101.9</v>
      </c>
      <c r="E27" s="838">
        <f>IFERROR(ROUND(J27/D27/12*1.8/2.3,2),0)</f>
        <v>74750.070000000007</v>
      </c>
      <c r="F27" s="839">
        <f>ROUND(E27*0.75/1.8,2)</f>
        <v>31145.86</v>
      </c>
      <c r="G27" s="839">
        <f>ROUND(E27*0.8/1.8,2)</f>
        <v>33222.25</v>
      </c>
      <c r="H27" s="840">
        <f>ROUND(F27*0.25/0.75,2)</f>
        <v>10381.950000000001</v>
      </c>
      <c r="I27" s="841">
        <f>SUM(I23:I26)</f>
        <v>40928872.035999998</v>
      </c>
      <c r="J27" s="842">
        <f>SUMIFS(Титульный!$P$69:$P$292,Титульный!$L$69:$L$292,'111'!K27,Титульный!$N$69:$N$292,'111'!L27)</f>
        <v>116794495</v>
      </c>
      <c r="K27" s="862">
        <v>111</v>
      </c>
      <c r="L27" s="863">
        <v>211</v>
      </c>
      <c r="Z27" s="137">
        <f t="shared" si="0"/>
        <v>0</v>
      </c>
    </row>
    <row r="28" spans="1:27" s="119" customFormat="1">
      <c r="A28" s="136"/>
      <c r="B28" s="136"/>
      <c r="K28" s="304"/>
      <c r="L28" s="304"/>
      <c r="N28" s="144"/>
      <c r="O28" s="144"/>
      <c r="P28" s="144"/>
      <c r="Q28" s="144"/>
      <c r="R28" s="144"/>
      <c r="S28" s="144"/>
      <c r="T28" s="144"/>
      <c r="Z28" s="137">
        <f t="shared" si="0"/>
        <v>0</v>
      </c>
    </row>
    <row r="29" spans="1:27" s="119" customFormat="1" ht="35.25" customHeight="1">
      <c r="A29" s="1687" t="s">
        <v>479</v>
      </c>
      <c r="B29" s="1651" t="s">
        <v>430</v>
      </c>
      <c r="C29" s="1726" t="s">
        <v>480</v>
      </c>
      <c r="D29" s="1729" t="s">
        <v>1116</v>
      </c>
      <c r="E29" s="1730"/>
      <c r="F29" s="1730"/>
      <c r="G29" s="1730"/>
      <c r="H29" s="1730"/>
      <c r="I29" s="1730"/>
      <c r="J29" s="1731"/>
      <c r="K29" s="304"/>
      <c r="L29" s="304"/>
      <c r="M29" s="128"/>
      <c r="N29" s="144"/>
      <c r="O29" s="144"/>
      <c r="P29" s="144"/>
      <c r="Q29" s="144"/>
      <c r="R29" s="144"/>
      <c r="S29" s="144"/>
      <c r="T29" s="144"/>
      <c r="Z29" s="137">
        <f t="shared" si="0"/>
        <v>0</v>
      </c>
    </row>
    <row r="30" spans="1:27" s="119" customFormat="1" ht="13.15" customHeight="1">
      <c r="A30" s="1688"/>
      <c r="B30" s="1684"/>
      <c r="C30" s="1727"/>
      <c r="D30" s="1732" t="s">
        <v>481</v>
      </c>
      <c r="E30" s="1735" t="s">
        <v>482</v>
      </c>
      <c r="F30" s="1736"/>
      <c r="G30" s="1736"/>
      <c r="H30" s="1737"/>
      <c r="I30" s="1738" t="s">
        <v>483</v>
      </c>
      <c r="J30" s="1741" t="s">
        <v>484</v>
      </c>
      <c r="K30" s="304"/>
      <c r="L30" s="863"/>
      <c r="M30" s="129"/>
      <c r="Z30" s="137">
        <f t="shared" si="0"/>
        <v>0</v>
      </c>
    </row>
    <row r="31" spans="1:27" s="119" customFormat="1" ht="12.75" customHeight="1">
      <c r="A31" s="1688"/>
      <c r="B31" s="1684"/>
      <c r="C31" s="1727"/>
      <c r="D31" s="1733"/>
      <c r="E31" s="1744" t="s">
        <v>485</v>
      </c>
      <c r="F31" s="1746" t="s">
        <v>30</v>
      </c>
      <c r="G31" s="1747"/>
      <c r="H31" s="1748"/>
      <c r="I31" s="1739"/>
      <c r="J31" s="1742"/>
      <c r="K31" s="304"/>
      <c r="L31" s="304"/>
      <c r="M31" s="129"/>
      <c r="Z31" s="137">
        <f t="shared" si="0"/>
        <v>0</v>
      </c>
    </row>
    <row r="32" spans="1:27" s="119" customFormat="1" ht="52.5" customHeight="1">
      <c r="A32" s="1724"/>
      <c r="B32" s="1725"/>
      <c r="C32" s="1728"/>
      <c r="D32" s="1734"/>
      <c r="E32" s="1745"/>
      <c r="F32" s="250" t="s">
        <v>486</v>
      </c>
      <c r="G32" s="250" t="s">
        <v>487</v>
      </c>
      <c r="H32" s="288" t="s">
        <v>488</v>
      </c>
      <c r="I32" s="1740"/>
      <c r="J32" s="1743"/>
      <c r="K32" s="869"/>
      <c r="L32" s="304"/>
      <c r="Z32" s="137">
        <f t="shared" si="0"/>
        <v>0</v>
      </c>
      <c r="AA32" s="137">
        <f>SUM(J34:J37)-SUBTOTAL(109,J34:J37)</f>
        <v>0</v>
      </c>
    </row>
    <row r="33" spans="1:27" s="144" customFormat="1" ht="26.25" customHeight="1">
      <c r="A33" s="292" t="s">
        <v>6</v>
      </c>
      <c r="B33" s="285" t="s">
        <v>7</v>
      </c>
      <c r="C33" s="287" t="s">
        <v>8</v>
      </c>
      <c r="D33" s="293">
        <v>4</v>
      </c>
      <c r="E33" s="292" t="s">
        <v>607</v>
      </c>
      <c r="F33" s="285">
        <v>6</v>
      </c>
      <c r="G33" s="285">
        <v>7</v>
      </c>
      <c r="H33" s="287">
        <v>8</v>
      </c>
      <c r="I33" s="294">
        <v>9</v>
      </c>
      <c r="J33" s="295" t="s">
        <v>489</v>
      </c>
      <c r="K33" s="304"/>
      <c r="L33" s="304"/>
      <c r="N33" s="1723"/>
      <c r="O33" s="1780"/>
      <c r="P33" s="1780"/>
      <c r="Q33" s="1780"/>
      <c r="R33" s="1780"/>
      <c r="S33" s="1780"/>
      <c r="T33" s="1780"/>
      <c r="Z33" s="137">
        <f t="shared" si="0"/>
        <v>0</v>
      </c>
    </row>
    <row r="34" spans="1:27" s="280" customFormat="1" ht="27.75" customHeight="1">
      <c r="A34" s="289" t="s">
        <v>59</v>
      </c>
      <c r="B34" s="290" t="s">
        <v>6</v>
      </c>
      <c r="C34" s="291" t="s">
        <v>272</v>
      </c>
      <c r="D34" s="819">
        <f>D12</f>
        <v>4.9000000000000004</v>
      </c>
      <c r="E34" s="820">
        <f>IFERROR(ROUND(J34/D34/12*1.8/2.3,2),0)</f>
        <v>139904.09</v>
      </c>
      <c r="F34" s="821">
        <f>ROUND(E34*0.75/1.8,2)</f>
        <v>58293.37</v>
      </c>
      <c r="G34" s="821">
        <f>E34-F34-H34</f>
        <v>62179.600000000006</v>
      </c>
      <c r="H34" s="822">
        <f>ROUND(F34*0.25/0.75,2)</f>
        <v>19431.12</v>
      </c>
      <c r="I34" s="823">
        <f>IFERROR(J34-(D34*E34*12),0)</f>
        <v>2285100.0580000002</v>
      </c>
      <c r="J34" s="824">
        <f>IFERROR(ROUND(J12*$J$38/$J$16,2),)</f>
        <v>10511460.550000001</v>
      </c>
      <c r="K34" s="863"/>
      <c r="L34" s="863"/>
      <c r="N34" s="1780"/>
      <c r="O34" s="1780"/>
      <c r="P34" s="1780"/>
      <c r="Q34" s="1780"/>
      <c r="R34" s="1780"/>
      <c r="S34" s="1780"/>
      <c r="T34" s="1780"/>
      <c r="Z34" s="137">
        <f t="shared" si="0"/>
        <v>0</v>
      </c>
    </row>
    <row r="35" spans="1:27" s="280" customFormat="1" ht="27.75" customHeight="1">
      <c r="A35" s="188" t="s">
        <v>59</v>
      </c>
      <c r="B35" s="185" t="s">
        <v>7</v>
      </c>
      <c r="C35" s="270" t="s">
        <v>273</v>
      </c>
      <c r="D35" s="825">
        <f>D13</f>
        <v>67.8</v>
      </c>
      <c r="E35" s="826">
        <f>IFERROR(ROUND(J35/D35/12*1.8/2.3,2),0)</f>
        <v>83135.77</v>
      </c>
      <c r="F35" s="827">
        <f>ROUND(E35*0.65/1.8,2)</f>
        <v>30021.25</v>
      </c>
      <c r="G35" s="827">
        <f>ROUND(E35*0.8/1.8,2)</f>
        <v>36949.230000000003</v>
      </c>
      <c r="H35" s="828">
        <f>ROUND(F35*0.35/0.65,2)</f>
        <v>16165.29</v>
      </c>
      <c r="I35" s="829">
        <f>IFERROR(J35-(D35*E35*12),0)</f>
        <v>18788679.827999994</v>
      </c>
      <c r="J35" s="830">
        <f>IFERROR(ROUND(J13*$J$38/$J$16,2),0)</f>
        <v>86427942.299999997</v>
      </c>
      <c r="K35" s="863"/>
      <c r="L35" s="863"/>
      <c r="N35" s="1780"/>
      <c r="O35" s="1780"/>
      <c r="P35" s="1780"/>
      <c r="Q35" s="1780"/>
      <c r="R35" s="1780"/>
      <c r="S35" s="1780"/>
      <c r="T35" s="1780"/>
      <c r="Z35" s="137">
        <f t="shared" si="0"/>
        <v>0</v>
      </c>
    </row>
    <row r="36" spans="1:27" s="280" customFormat="1" ht="27.75" customHeight="1">
      <c r="A36" s="188" t="s">
        <v>59</v>
      </c>
      <c r="B36" s="185" t="s">
        <v>8</v>
      </c>
      <c r="C36" s="270" t="s">
        <v>490</v>
      </c>
      <c r="D36" s="825">
        <f>D14</f>
        <v>0</v>
      </c>
      <c r="E36" s="826">
        <f>IFERROR(ROUND(J36/D36/12*1.8/2.3,2),0)</f>
        <v>0</v>
      </c>
      <c r="F36" s="827">
        <f>ROUND(E36*0.75/1.8,2)</f>
        <v>0</v>
      </c>
      <c r="G36" s="827">
        <f>ROUND(E36*0.8/1.8,2)</f>
        <v>0</v>
      </c>
      <c r="H36" s="828">
        <f>ROUND(F36*0.35/0.65,2)</f>
        <v>0</v>
      </c>
      <c r="I36" s="829">
        <f>IFERROR(J36-(D36*E36*12),0)</f>
        <v>19855092.16</v>
      </c>
      <c r="J36" s="830">
        <f>IFERROR(ROUND(J14*$J$38/$J$16,2),0)</f>
        <v>19855092.16</v>
      </c>
      <c r="K36" s="863"/>
      <c r="L36" s="863"/>
      <c r="Z36" s="137">
        <f t="shared" si="0"/>
        <v>0</v>
      </c>
    </row>
    <row r="37" spans="1:27" s="280" customFormat="1" ht="27.75" customHeight="1">
      <c r="A37" s="283" t="s">
        <v>59</v>
      </c>
      <c r="B37" s="284" t="s">
        <v>9</v>
      </c>
      <c r="C37" s="271" t="s">
        <v>491</v>
      </c>
      <c r="D37" s="831">
        <f>D15</f>
        <v>29.2</v>
      </c>
      <c r="E37" s="832">
        <f>IFERROR(ROUND(J37/D37/12*1.8/2.3,2),0)</f>
        <v>0</v>
      </c>
      <c r="F37" s="833">
        <f>ROUND(E37*0.75/1.8,2)</f>
        <v>0</v>
      </c>
      <c r="G37" s="833">
        <f>ROUND(E37*0.8/1.8,2)</f>
        <v>0</v>
      </c>
      <c r="H37" s="834">
        <f>ROUND(F37*0.25/0.75,2)</f>
        <v>0</v>
      </c>
      <c r="I37" s="835">
        <f>IFERROR(J37-(D37*E37*12),0)</f>
        <v>-9.9999941885471344E-3</v>
      </c>
      <c r="J37" s="836">
        <f>J38-J34-J35-J36</f>
        <v>-9.9999941885471344E-3</v>
      </c>
      <c r="K37" s="863"/>
      <c r="L37" s="863"/>
      <c r="Z37" s="137">
        <f t="shared" si="0"/>
        <v>0</v>
      </c>
      <c r="AA37" s="700"/>
    </row>
    <row r="38" spans="1:27" s="280" customFormat="1" ht="27.75" customHeight="1">
      <c r="A38" s="163">
        <v>111</v>
      </c>
      <c r="B38" s="164"/>
      <c r="C38" s="286" t="s">
        <v>438</v>
      </c>
      <c r="D38" s="837">
        <f>D34+D35+D36+D37</f>
        <v>101.9</v>
      </c>
      <c r="E38" s="838">
        <f>IFERROR(ROUND(J38/D38/12*1.8/2.3,2),0)</f>
        <v>74750.070000000007</v>
      </c>
      <c r="F38" s="839">
        <f>ROUND(E38*0.75/1.8,2)</f>
        <v>31145.86</v>
      </c>
      <c r="G38" s="839">
        <f>ROUND(E38*0.8/1.8,2)</f>
        <v>33222.25</v>
      </c>
      <c r="H38" s="840">
        <f>ROUND(F38*0.25/0.75,2)</f>
        <v>10381.950000000001</v>
      </c>
      <c r="I38" s="841">
        <f>SUM(I34:I37)</f>
        <v>40928872.035999998</v>
      </c>
      <c r="J38" s="842">
        <f>SUMIFS(Титульный!$Q$69:$Q$292,Титульный!$L$69:$L$292,'111'!K38,Титульный!$N$69:$N$292,'111'!L38)</f>
        <v>116794495</v>
      </c>
      <c r="K38" s="862">
        <v>111</v>
      </c>
      <c r="L38" s="863">
        <v>211</v>
      </c>
      <c r="Z38" s="137">
        <f t="shared" si="0"/>
        <v>0</v>
      </c>
    </row>
    <row r="39" spans="1:27" s="119" customFormat="1">
      <c r="A39" s="136"/>
      <c r="B39" s="136"/>
      <c r="K39" s="304"/>
      <c r="L39" s="304"/>
      <c r="Z39" s="137">
        <f t="shared" si="0"/>
        <v>0</v>
      </c>
    </row>
    <row r="40" spans="1:27" s="119" customFormat="1" ht="16.5" hidden="1" customHeight="1">
      <c r="A40" s="136"/>
      <c r="B40" s="136"/>
      <c r="K40" s="304"/>
      <c r="L40" s="304"/>
      <c r="Z40" s="137">
        <f t="shared" si="0"/>
        <v>0</v>
      </c>
    </row>
    <row r="41" spans="1:27" s="144" customFormat="1" hidden="1">
      <c r="A41" s="136"/>
      <c r="B41" s="136"/>
      <c r="K41" s="304"/>
      <c r="L41" s="304"/>
      <c r="Z41" s="137">
        <f t="shared" si="0"/>
        <v>0</v>
      </c>
    </row>
    <row r="42" spans="1:27" s="119" customFormat="1" ht="36" customHeight="1">
      <c r="A42" s="1773" t="s">
        <v>492</v>
      </c>
      <c r="B42" s="1773"/>
      <c r="C42" s="1773"/>
      <c r="D42" s="1773"/>
      <c r="E42" s="1773"/>
      <c r="F42" s="1773"/>
      <c r="G42" s="1773"/>
      <c r="H42" s="1773"/>
      <c r="I42" s="1773"/>
      <c r="J42" s="1773"/>
      <c r="K42" s="304"/>
      <c r="L42" s="304"/>
      <c r="Z42" s="137">
        <f t="shared" si="0"/>
        <v>0</v>
      </c>
    </row>
    <row r="43" spans="1:27" s="119" customFormat="1">
      <c r="A43" s="136"/>
      <c r="B43" s="136"/>
      <c r="K43" s="304"/>
      <c r="L43" s="304"/>
      <c r="Z43" s="137">
        <f t="shared" si="0"/>
        <v>0</v>
      </c>
    </row>
    <row r="44" spans="1:27" s="119" customFormat="1" ht="34.5" customHeight="1">
      <c r="A44" s="1750" t="s">
        <v>479</v>
      </c>
      <c r="B44" s="1752" t="s">
        <v>430</v>
      </c>
      <c r="C44" s="1754" t="s">
        <v>493</v>
      </c>
      <c r="D44" s="1755"/>
      <c r="E44" s="1767" t="s">
        <v>1114</v>
      </c>
      <c r="F44" s="1767"/>
      <c r="G44" s="1767"/>
      <c r="H44" s="1767"/>
      <c r="I44" s="1767"/>
      <c r="J44" s="1768"/>
      <c r="K44" s="851"/>
      <c r="L44" s="863"/>
      <c r="Z44" s="137">
        <f t="shared" si="0"/>
        <v>0</v>
      </c>
    </row>
    <row r="45" spans="1:27" s="119" customFormat="1">
      <c r="A45" s="1751"/>
      <c r="B45" s="1753"/>
      <c r="C45" s="1756"/>
      <c r="D45" s="1757"/>
      <c r="E45" s="1762" t="s">
        <v>494</v>
      </c>
      <c r="F45" s="1763"/>
      <c r="G45" s="1763" t="s">
        <v>495</v>
      </c>
      <c r="H45" s="1763"/>
      <c r="I45" s="1763" t="s">
        <v>496</v>
      </c>
      <c r="J45" s="1769"/>
      <c r="K45" s="851"/>
      <c r="L45" s="863"/>
      <c r="Z45" s="137">
        <f t="shared" si="0"/>
        <v>0</v>
      </c>
    </row>
    <row r="46" spans="1:27" s="121" customFormat="1">
      <c r="A46" s="275" t="s">
        <v>6</v>
      </c>
      <c r="B46" s="253" t="s">
        <v>7</v>
      </c>
      <c r="C46" s="1760" t="s">
        <v>8</v>
      </c>
      <c r="D46" s="1761"/>
      <c r="E46" s="1764" t="s">
        <v>9</v>
      </c>
      <c r="F46" s="1760"/>
      <c r="G46" s="1760" t="s">
        <v>10</v>
      </c>
      <c r="H46" s="1760"/>
      <c r="I46" s="1760" t="s">
        <v>497</v>
      </c>
      <c r="J46" s="1761"/>
      <c r="K46" s="851"/>
      <c r="L46" s="304"/>
      <c r="Z46" s="137">
        <f t="shared" si="0"/>
        <v>0</v>
      </c>
    </row>
    <row r="47" spans="1:27" s="119" customFormat="1" ht="71.45" customHeight="1">
      <c r="A47" s="276" t="s">
        <v>59</v>
      </c>
      <c r="B47" s="277" t="s">
        <v>6</v>
      </c>
      <c r="C47" s="1758" t="s">
        <v>500</v>
      </c>
      <c r="D47" s="1759"/>
      <c r="E47" s="1765">
        <f>IFERROR(ROUNDUP(I47/(J16/D16/12/30.41*0.8*7),0),0)</f>
        <v>0</v>
      </c>
      <c r="F47" s="1766"/>
      <c r="G47" s="1766">
        <f>IFERROR(ROUND(I47/E47,2),0)</f>
        <v>0</v>
      </c>
      <c r="H47" s="1766"/>
      <c r="I47" s="1766">
        <f>SUMIFS(Титульный!$O$69:$O$292,Титульный!$L$69:$L$292,'111'!K47,Титульный!$N$69:$N$292,'111'!L47)</f>
        <v>0</v>
      </c>
      <c r="J47" s="1770"/>
      <c r="K47" s="851">
        <v>111</v>
      </c>
      <c r="L47" s="304">
        <v>266</v>
      </c>
      <c r="Y47" s="280"/>
      <c r="Z47" s="137">
        <f t="shared" si="0"/>
        <v>0</v>
      </c>
    </row>
    <row r="48" spans="1:27">
      <c r="Z48" s="137">
        <f t="shared" si="0"/>
        <v>0</v>
      </c>
    </row>
    <row r="49" spans="1:26" s="144" customFormat="1" ht="35.25" customHeight="1">
      <c r="A49" s="1750" t="s">
        <v>479</v>
      </c>
      <c r="B49" s="1752" t="s">
        <v>430</v>
      </c>
      <c r="C49" s="1754" t="s">
        <v>493</v>
      </c>
      <c r="D49" s="1755"/>
      <c r="E49" s="1771" t="s">
        <v>1115</v>
      </c>
      <c r="F49" s="1771"/>
      <c r="G49" s="1771"/>
      <c r="H49" s="1771"/>
      <c r="I49" s="1771"/>
      <c r="J49" s="1772"/>
      <c r="K49" s="851"/>
      <c r="L49" s="863"/>
      <c r="Z49" s="137">
        <f t="shared" si="0"/>
        <v>0</v>
      </c>
    </row>
    <row r="50" spans="1:26" s="144" customFormat="1">
      <c r="A50" s="1751"/>
      <c r="B50" s="1753"/>
      <c r="C50" s="1756"/>
      <c r="D50" s="1757"/>
      <c r="E50" s="1762" t="s">
        <v>494</v>
      </c>
      <c r="F50" s="1763"/>
      <c r="G50" s="1763" t="s">
        <v>495</v>
      </c>
      <c r="H50" s="1763"/>
      <c r="I50" s="1763" t="s">
        <v>496</v>
      </c>
      <c r="J50" s="1769"/>
      <c r="K50" s="851"/>
      <c r="L50" s="863"/>
      <c r="Z50" s="137">
        <f t="shared" si="0"/>
        <v>0</v>
      </c>
    </row>
    <row r="51" spans="1:26" s="121" customFormat="1">
      <c r="A51" s="275" t="s">
        <v>6</v>
      </c>
      <c r="B51" s="253" t="s">
        <v>7</v>
      </c>
      <c r="C51" s="1760" t="s">
        <v>8</v>
      </c>
      <c r="D51" s="1761"/>
      <c r="E51" s="1764" t="s">
        <v>9</v>
      </c>
      <c r="F51" s="1760"/>
      <c r="G51" s="1760" t="s">
        <v>10</v>
      </c>
      <c r="H51" s="1760"/>
      <c r="I51" s="1760" t="s">
        <v>497</v>
      </c>
      <c r="J51" s="1761"/>
      <c r="K51" s="851"/>
      <c r="L51" s="304"/>
      <c r="Z51" s="137">
        <f t="shared" si="0"/>
        <v>0</v>
      </c>
    </row>
    <row r="52" spans="1:26" s="144" customFormat="1" ht="65.45" customHeight="1">
      <c r="A52" s="276" t="s">
        <v>59</v>
      </c>
      <c r="B52" s="277" t="s">
        <v>6</v>
      </c>
      <c r="C52" s="1758" t="s">
        <v>500</v>
      </c>
      <c r="D52" s="1759"/>
      <c r="E52" s="1765">
        <f>IFERROR(ROUNDUP(I52/(J16/D16/12/30.41*0.8*7),0),0)</f>
        <v>0</v>
      </c>
      <c r="F52" s="1766"/>
      <c r="G52" s="1766">
        <f>IFERROR(ROUND(I52/E52,2),0)</f>
        <v>0</v>
      </c>
      <c r="H52" s="1766"/>
      <c r="I52" s="1766">
        <f>SUMIFS(Титульный!$P$69:$P$292,Титульный!$L$69:$L$292,'111'!K52,Титульный!$N$69:$N$292,'111'!L52)</f>
        <v>0</v>
      </c>
      <c r="J52" s="1770"/>
      <c r="K52" s="851">
        <v>111</v>
      </c>
      <c r="L52" s="304">
        <v>266</v>
      </c>
      <c r="Y52" s="280"/>
      <c r="Z52" s="137">
        <f t="shared" si="0"/>
        <v>0</v>
      </c>
    </row>
    <row r="53" spans="1:26">
      <c r="Z53" s="137">
        <f t="shared" si="0"/>
        <v>0</v>
      </c>
    </row>
    <row r="54" spans="1:26" s="144" customFormat="1" ht="35.25" customHeight="1">
      <c r="A54" s="1750" t="s">
        <v>479</v>
      </c>
      <c r="B54" s="1752" t="s">
        <v>430</v>
      </c>
      <c r="C54" s="1754" t="s">
        <v>493</v>
      </c>
      <c r="D54" s="1755"/>
      <c r="E54" s="1771" t="s">
        <v>1116</v>
      </c>
      <c r="F54" s="1771"/>
      <c r="G54" s="1771"/>
      <c r="H54" s="1771"/>
      <c r="I54" s="1771"/>
      <c r="J54" s="1772"/>
      <c r="K54" s="851"/>
      <c r="L54" s="863"/>
      <c r="Z54" s="137">
        <f t="shared" si="0"/>
        <v>0</v>
      </c>
    </row>
    <row r="55" spans="1:26" s="144" customFormat="1">
      <c r="A55" s="1751"/>
      <c r="B55" s="1753"/>
      <c r="C55" s="1756"/>
      <c r="D55" s="1757"/>
      <c r="E55" s="1762" t="s">
        <v>494</v>
      </c>
      <c r="F55" s="1763"/>
      <c r="G55" s="1763" t="s">
        <v>495</v>
      </c>
      <c r="H55" s="1763"/>
      <c r="I55" s="1763" t="s">
        <v>496</v>
      </c>
      <c r="J55" s="1769"/>
      <c r="K55" s="851"/>
      <c r="L55" s="863"/>
      <c r="Z55" s="137">
        <f t="shared" si="0"/>
        <v>0</v>
      </c>
    </row>
    <row r="56" spans="1:26" s="121" customFormat="1">
      <c r="A56" s="275" t="s">
        <v>6</v>
      </c>
      <c r="B56" s="253" t="s">
        <v>7</v>
      </c>
      <c r="C56" s="1760" t="s">
        <v>8</v>
      </c>
      <c r="D56" s="1761"/>
      <c r="E56" s="1764" t="s">
        <v>9</v>
      </c>
      <c r="F56" s="1760"/>
      <c r="G56" s="1760" t="s">
        <v>10</v>
      </c>
      <c r="H56" s="1760"/>
      <c r="I56" s="1760" t="s">
        <v>497</v>
      </c>
      <c r="J56" s="1761"/>
      <c r="K56" s="851"/>
      <c r="L56" s="304"/>
      <c r="Z56" s="137">
        <f t="shared" si="0"/>
        <v>0</v>
      </c>
    </row>
    <row r="57" spans="1:26" s="144" customFormat="1" ht="64.150000000000006" customHeight="1">
      <c r="A57" s="276" t="s">
        <v>59</v>
      </c>
      <c r="B57" s="277" t="s">
        <v>6</v>
      </c>
      <c r="C57" s="1758" t="s">
        <v>500</v>
      </c>
      <c r="D57" s="1759"/>
      <c r="E57" s="1765">
        <f>IFERROR(ROUNDUP(I57/(J16/D16/12/30.41*0.8*7),0),0)</f>
        <v>0</v>
      </c>
      <c r="F57" s="1766"/>
      <c r="G57" s="1766">
        <f>IFERROR(ROUND(I57/E57,2),0)</f>
        <v>0</v>
      </c>
      <c r="H57" s="1766"/>
      <c r="I57" s="1766">
        <f>SUMIFS(Титульный!$Q$69:$Q$292,Титульный!$L$69:$L$292,'111'!K57,Титульный!$N$69:$N$292,'111'!L57)</f>
        <v>0</v>
      </c>
      <c r="J57" s="1770"/>
      <c r="K57" s="851">
        <v>111</v>
      </c>
      <c r="L57" s="304">
        <v>266</v>
      </c>
      <c r="Y57" s="280"/>
      <c r="Z57" s="137">
        <f t="shared" si="0"/>
        <v>0</v>
      </c>
    </row>
    <row r="58" spans="1:26">
      <c r="Z58" s="137"/>
    </row>
    <row r="59" spans="1:26">
      <c r="Z59" s="137"/>
    </row>
    <row r="60" spans="1:26">
      <c r="Z60" s="137"/>
    </row>
    <row r="61" spans="1:26">
      <c r="Z61" s="137"/>
    </row>
    <row r="62" spans="1:26">
      <c r="Z62" s="137"/>
    </row>
    <row r="63" spans="1:26">
      <c r="Z63" s="137"/>
    </row>
    <row r="64" spans="1:26">
      <c r="Z64" s="137"/>
    </row>
    <row r="65" spans="26:26">
      <c r="Z65" s="137"/>
    </row>
    <row r="66" spans="26:26">
      <c r="Z66" s="137"/>
    </row>
    <row r="67" spans="26:26">
      <c r="Z67" s="137"/>
    </row>
    <row r="68" spans="26:26">
      <c r="Z68" s="137"/>
    </row>
    <row r="69" spans="26:26">
      <c r="Z69" s="137"/>
    </row>
    <row r="70" spans="26:26">
      <c r="Z70" s="137"/>
    </row>
    <row r="71" spans="26:26">
      <c r="Z71" s="137"/>
    </row>
    <row r="72" spans="26:26">
      <c r="Z72" s="137"/>
    </row>
    <row r="73" spans="26:26">
      <c r="Z73" s="137"/>
    </row>
    <row r="74" spans="26:26">
      <c r="Z74" s="137"/>
    </row>
    <row r="75" spans="26:26">
      <c r="Z75" s="137"/>
    </row>
    <row r="76" spans="26:26">
      <c r="Z76" s="137"/>
    </row>
    <row r="77" spans="26:26">
      <c r="Z77" s="137"/>
    </row>
    <row r="78" spans="26:26">
      <c r="Z78" s="137"/>
    </row>
    <row r="79" spans="26:26">
      <c r="Z79" s="137"/>
    </row>
    <row r="80" spans="26:26">
      <c r="Z80" s="137"/>
    </row>
    <row r="81" spans="1:26">
      <c r="Z81" s="137"/>
    </row>
    <row r="82" spans="1:26">
      <c r="Z82" s="137"/>
    </row>
    <row r="83" spans="1:26">
      <c r="Z83" s="137"/>
    </row>
    <row r="84" spans="1:26">
      <c r="Z84" s="137"/>
    </row>
    <row r="85" spans="1:26">
      <c r="Z85" s="137"/>
    </row>
    <row r="86" spans="1:26">
      <c r="A86" s="136"/>
      <c r="B86" s="256"/>
      <c r="Z86" s="137"/>
    </row>
    <row r="87" spans="1:26">
      <c r="A87" s="136"/>
      <c r="B87" s="256"/>
      <c r="Z87" s="137"/>
    </row>
  </sheetData>
  <mergeCells count="83">
    <mergeCell ref="A42:J42"/>
    <mergeCell ref="L10:S10"/>
    <mergeCell ref="A2:J2"/>
    <mergeCell ref="A4:J4"/>
    <mergeCell ref="A5:J5"/>
    <mergeCell ref="A7:A10"/>
    <mergeCell ref="B7:B10"/>
    <mergeCell ref="C7:C10"/>
    <mergeCell ref="D7:J7"/>
    <mergeCell ref="D8:D10"/>
    <mergeCell ref="E8:H8"/>
    <mergeCell ref="I8:I10"/>
    <mergeCell ref="J8:J10"/>
    <mergeCell ref="E9:E10"/>
    <mergeCell ref="F9:H9"/>
    <mergeCell ref="N33:T35"/>
    <mergeCell ref="C56:D56"/>
    <mergeCell ref="E56:F56"/>
    <mergeCell ref="G56:H56"/>
    <mergeCell ref="I56:J56"/>
    <mergeCell ref="C57:D57"/>
    <mergeCell ref="E57:F57"/>
    <mergeCell ref="G57:H57"/>
    <mergeCell ref="I57:J57"/>
    <mergeCell ref="E52:F52"/>
    <mergeCell ref="G52:H52"/>
    <mergeCell ref="I52:J52"/>
    <mergeCell ref="C54:D55"/>
    <mergeCell ref="E54:J54"/>
    <mergeCell ref="E55:F55"/>
    <mergeCell ref="G55:H55"/>
    <mergeCell ref="I55:J55"/>
    <mergeCell ref="E49:J49"/>
    <mergeCell ref="E50:F50"/>
    <mergeCell ref="G50:H50"/>
    <mergeCell ref="I50:J50"/>
    <mergeCell ref="C51:D51"/>
    <mergeCell ref="E51:F51"/>
    <mergeCell ref="G51:H51"/>
    <mergeCell ref="I51:J51"/>
    <mergeCell ref="A44:A45"/>
    <mergeCell ref="C47:D47"/>
    <mergeCell ref="C46:D46"/>
    <mergeCell ref="E45:F45"/>
    <mergeCell ref="E46:F46"/>
    <mergeCell ref="E47:F47"/>
    <mergeCell ref="E44:J44"/>
    <mergeCell ref="C44:D45"/>
    <mergeCell ref="B44:B45"/>
    <mergeCell ref="G45:H45"/>
    <mergeCell ref="G46:H46"/>
    <mergeCell ref="G47:H47"/>
    <mergeCell ref="I45:J45"/>
    <mergeCell ref="I46:J46"/>
    <mergeCell ref="I47:J47"/>
    <mergeCell ref="A49:A50"/>
    <mergeCell ref="B49:B50"/>
    <mergeCell ref="A54:A55"/>
    <mergeCell ref="B54:B55"/>
    <mergeCell ref="C49:D50"/>
    <mergeCell ref="C52:D52"/>
    <mergeCell ref="A1:J1"/>
    <mergeCell ref="A18:A21"/>
    <mergeCell ref="B18:B21"/>
    <mergeCell ref="C18:C21"/>
    <mergeCell ref="D18:J18"/>
    <mergeCell ref="D19:D21"/>
    <mergeCell ref="E19:H19"/>
    <mergeCell ref="I19:I21"/>
    <mergeCell ref="J19:J21"/>
    <mergeCell ref="E20:E21"/>
    <mergeCell ref="F20:H20"/>
    <mergeCell ref="N22:T24"/>
    <mergeCell ref="A29:A32"/>
    <mergeCell ref="B29:B32"/>
    <mergeCell ref="C29:C32"/>
    <mergeCell ref="D29:J29"/>
    <mergeCell ref="D30:D32"/>
    <mergeCell ref="E30:H30"/>
    <mergeCell ref="I30:I32"/>
    <mergeCell ref="J30:J32"/>
    <mergeCell ref="E31:E32"/>
    <mergeCell ref="F31:H31"/>
  </mergeCells>
  <conditionalFormatting sqref="D12:J16 E47:J47 D23:J27 D34:J38 E52:J52 E57:J57">
    <cfRule type="cellIs" dxfId="52" priority="574" operator="lessThan">
      <formula>0</formula>
    </cfRule>
  </conditionalFormatting>
  <pageMargins left="0.19685039370078741" right="0.19685039370078741" top="0.74803149606299213" bottom="0.19685039370078741" header="0.31496062992125984" footer="0.31496062992125984"/>
  <pageSetup paperSize="9" scale="94" fitToHeight="16" orientation="landscape" r:id="rId1"/>
  <rowBreaks count="2" manualBreakCount="2">
    <brk id="17" max="9" man="1"/>
    <brk id="38" max="9" man="1"/>
  </rowBreaks>
  <extLst>
    <ext xmlns:x14="http://schemas.microsoft.com/office/spreadsheetml/2009/9/main" uri="{78C0D931-6437-407d-A8EE-F0AAD7539E65}">
      <x14:conditionalFormattings>
        <x14:conditionalFormatting xmlns:xm="http://schemas.microsoft.com/office/excel/2006/main">
          <x14:cfRule type="expression" priority="530" stopIfTrue="1" id="{B53ACD2D-B94A-4B7E-BDDA-264783950821}">
            <xm:f>Титульный!$Z$1="скрыть"</xm:f>
            <x14:dxf>
              <fill>
                <patternFill patternType="none">
                  <bgColor auto="1"/>
                </patternFill>
              </fill>
            </x14:dxf>
          </x14:cfRule>
          <xm:sqref>A1:J1048576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Лист8">
    <tabColor theme="8" tint="0.59999389629810485"/>
  </sheetPr>
  <dimension ref="A1:AI101"/>
  <sheetViews>
    <sheetView view="pageBreakPreview" topLeftCell="A17" zoomScale="85" zoomScaleNormal="85" zoomScaleSheetLayoutView="85" workbookViewId="0">
      <selection activeCell="V55" sqref="V55"/>
    </sheetView>
  </sheetViews>
  <sheetFormatPr defaultColWidth="9.140625" defaultRowHeight="12.75"/>
  <cols>
    <col min="1" max="1" width="11.28515625" style="306" customWidth="1"/>
    <col min="2" max="2" width="4.85546875" style="306" customWidth="1"/>
    <col min="3" max="3" width="49" style="111" customWidth="1"/>
    <col min="4" max="14" width="10.85546875" style="111" customWidth="1"/>
    <col min="15" max="15" width="13" style="111" customWidth="1"/>
    <col min="16" max="16" width="9.140625" style="879"/>
    <col min="17" max="26" width="9.140625" style="111"/>
    <col min="27" max="27" width="11.7109375" style="111" bestFit="1" customWidth="1"/>
    <col min="28" max="16384" width="9.140625" style="111"/>
  </cols>
  <sheetData>
    <row r="1" spans="1:35" s="298" customFormat="1" ht="36" customHeight="1">
      <c r="A1" s="1773" t="s">
        <v>501</v>
      </c>
      <c r="B1" s="1773"/>
      <c r="C1" s="1773"/>
      <c r="D1" s="1773"/>
      <c r="E1" s="1773"/>
      <c r="F1" s="1773"/>
      <c r="G1" s="1773"/>
      <c r="H1" s="1773"/>
      <c r="I1" s="1773"/>
      <c r="J1" s="1773"/>
      <c r="K1" s="1773"/>
      <c r="L1" s="1773"/>
      <c r="M1" s="1773"/>
      <c r="N1" s="1773"/>
      <c r="O1" s="1773"/>
    </row>
    <row r="2" spans="1:35" s="119" customFormat="1">
      <c r="A2" s="132"/>
      <c r="B2" s="132"/>
      <c r="P2" s="122"/>
    </row>
    <row r="3" spans="1:35" s="119" customFormat="1" ht="15.75">
      <c r="A3" s="1687" t="s">
        <v>479</v>
      </c>
      <c r="B3" s="1651" t="s">
        <v>430</v>
      </c>
      <c r="C3" s="1726" t="s">
        <v>493</v>
      </c>
      <c r="D3" s="1849" t="s">
        <v>496</v>
      </c>
      <c r="E3" s="1850"/>
      <c r="F3" s="1850"/>
      <c r="G3" s="1850"/>
      <c r="H3" s="1850"/>
      <c r="I3" s="1850"/>
      <c r="J3" s="1850"/>
      <c r="K3" s="1850"/>
      <c r="L3" s="1850"/>
      <c r="M3" s="1850"/>
      <c r="N3" s="1850"/>
      <c r="O3" s="1851"/>
      <c r="P3" s="122"/>
    </row>
    <row r="4" spans="1:35" s="119" customFormat="1" ht="34.5" customHeight="1">
      <c r="A4" s="1688"/>
      <c r="B4" s="1684"/>
      <c r="C4" s="1727"/>
      <c r="D4" s="1846" t="s">
        <v>1114</v>
      </c>
      <c r="E4" s="1847"/>
      <c r="F4" s="1847"/>
      <c r="G4" s="1847"/>
      <c r="H4" s="1684" t="s">
        <v>1115</v>
      </c>
      <c r="I4" s="1684"/>
      <c r="J4" s="1684"/>
      <c r="K4" s="1684"/>
      <c r="L4" s="1684" t="s">
        <v>1116</v>
      </c>
      <c r="M4" s="1684"/>
      <c r="N4" s="1684"/>
      <c r="O4" s="1852"/>
      <c r="P4" s="122"/>
      <c r="Z4" s="137">
        <f t="shared" ref="Z4:Z35" si="0">SUM(AA4:AO4)</f>
        <v>0</v>
      </c>
      <c r="AA4" s="137">
        <f>SUM(D6:G12)-SUBTOTAL(109,D6:G12)</f>
        <v>0</v>
      </c>
      <c r="AB4" s="137">
        <f>SUM(H6:K12)-SUBTOTAL(109,H6:K12)</f>
        <v>0</v>
      </c>
      <c r="AC4" s="137">
        <f>SUM(L6:O12)-SUBTOTAL(109,L6:O12)</f>
        <v>0</v>
      </c>
    </row>
    <row r="5" spans="1:35" s="144" customFormat="1">
      <c r="A5" s="187" t="s">
        <v>6</v>
      </c>
      <c r="B5" s="178" t="s">
        <v>7</v>
      </c>
      <c r="C5" s="161" t="s">
        <v>8</v>
      </c>
      <c r="D5" s="1764" t="s">
        <v>9</v>
      </c>
      <c r="E5" s="1760"/>
      <c r="F5" s="1760"/>
      <c r="G5" s="1760"/>
      <c r="H5" s="1760" t="s">
        <v>10</v>
      </c>
      <c r="I5" s="1760"/>
      <c r="J5" s="1760"/>
      <c r="K5" s="1760"/>
      <c r="L5" s="1760" t="s">
        <v>417</v>
      </c>
      <c r="M5" s="1760"/>
      <c r="N5" s="1760"/>
      <c r="O5" s="1761"/>
      <c r="P5" s="122"/>
      <c r="Z5" s="137">
        <f t="shared" si="0"/>
        <v>0</v>
      </c>
    </row>
    <row r="6" spans="1:35" s="119" customFormat="1" ht="33.6" customHeight="1">
      <c r="A6" s="236" t="s">
        <v>62</v>
      </c>
      <c r="B6" s="241" t="s">
        <v>6</v>
      </c>
      <c r="C6" s="291" t="s">
        <v>502</v>
      </c>
      <c r="D6" s="1709">
        <f>G26</f>
        <v>0</v>
      </c>
      <c r="E6" s="1704"/>
      <c r="F6" s="1704"/>
      <c r="G6" s="1704"/>
      <c r="H6" s="1704">
        <f>$K$26</f>
        <v>0</v>
      </c>
      <c r="I6" s="1704"/>
      <c r="J6" s="1704"/>
      <c r="K6" s="1704"/>
      <c r="L6" s="1704">
        <f>$O$26</f>
        <v>0</v>
      </c>
      <c r="M6" s="1704"/>
      <c r="N6" s="1704"/>
      <c r="O6" s="1708"/>
      <c r="P6" s="122"/>
      <c r="Z6" s="137">
        <f t="shared" si="0"/>
        <v>0</v>
      </c>
    </row>
    <row r="7" spans="1:35" s="119" customFormat="1" ht="48" customHeight="1">
      <c r="A7" s="218" t="s">
        <v>62</v>
      </c>
      <c r="B7" s="241" t="s">
        <v>7</v>
      </c>
      <c r="C7" s="270" t="s">
        <v>503</v>
      </c>
      <c r="D7" s="1710">
        <f>G38</f>
        <v>0</v>
      </c>
      <c r="E7" s="1638"/>
      <c r="F7" s="1638"/>
      <c r="G7" s="1638"/>
      <c r="H7" s="1638">
        <f>$K$38</f>
        <v>0</v>
      </c>
      <c r="I7" s="1638"/>
      <c r="J7" s="1638"/>
      <c r="K7" s="1638"/>
      <c r="L7" s="1638">
        <f>$O$38</f>
        <v>0</v>
      </c>
      <c r="M7" s="1638"/>
      <c r="N7" s="1638"/>
      <c r="O7" s="1641"/>
      <c r="P7" s="122"/>
      <c r="Z7" s="137">
        <f t="shared" si="0"/>
        <v>0</v>
      </c>
    </row>
    <row r="8" spans="1:35" s="119" customFormat="1" ht="48.75" customHeight="1">
      <c r="A8" s="218" t="s">
        <v>62</v>
      </c>
      <c r="B8" s="241" t="s">
        <v>8</v>
      </c>
      <c r="C8" s="270" t="s">
        <v>504</v>
      </c>
      <c r="D8" s="1710">
        <f>F49</f>
        <v>1900</v>
      </c>
      <c r="E8" s="1638"/>
      <c r="F8" s="1638"/>
      <c r="G8" s="1638"/>
      <c r="H8" s="1638">
        <f>J49</f>
        <v>0</v>
      </c>
      <c r="I8" s="1638"/>
      <c r="J8" s="1638"/>
      <c r="K8" s="1638"/>
      <c r="L8" s="1638">
        <f>N49</f>
        <v>0</v>
      </c>
      <c r="M8" s="1638"/>
      <c r="N8" s="1638"/>
      <c r="O8" s="1641"/>
      <c r="P8" s="122"/>
      <c r="Z8" s="137">
        <f t="shared" si="0"/>
        <v>0</v>
      </c>
    </row>
    <row r="9" spans="1:35" s="119" customFormat="1" ht="54.75" customHeight="1">
      <c r="A9" s="218" t="s">
        <v>62</v>
      </c>
      <c r="B9" s="241" t="s">
        <v>9</v>
      </c>
      <c r="C9" s="270" t="s">
        <v>505</v>
      </c>
      <c r="D9" s="1710">
        <f>G59</f>
        <v>0</v>
      </c>
      <c r="E9" s="1638"/>
      <c r="F9" s="1638"/>
      <c r="G9" s="1638"/>
      <c r="H9" s="1638">
        <f>$K$59</f>
        <v>0</v>
      </c>
      <c r="I9" s="1638"/>
      <c r="J9" s="1638"/>
      <c r="K9" s="1638"/>
      <c r="L9" s="1638">
        <f>$O$59</f>
        <v>0</v>
      </c>
      <c r="M9" s="1638"/>
      <c r="N9" s="1638"/>
      <c r="O9" s="1641"/>
      <c r="P9" s="122"/>
      <c r="Z9" s="137">
        <f t="shared" si="0"/>
        <v>0</v>
      </c>
    </row>
    <row r="10" spans="1:35" s="119" customFormat="1" ht="86.45" customHeight="1">
      <c r="A10" s="218" t="s">
        <v>62</v>
      </c>
      <c r="B10" s="241" t="s">
        <v>10</v>
      </c>
      <c r="C10" s="270" t="s">
        <v>506</v>
      </c>
      <c r="D10" s="1710">
        <f>F69</f>
        <v>1165022.3900000001</v>
      </c>
      <c r="E10" s="1638"/>
      <c r="F10" s="1638"/>
      <c r="G10" s="1638"/>
      <c r="H10" s="1638">
        <f>J69</f>
        <v>1256429</v>
      </c>
      <c r="I10" s="1638"/>
      <c r="J10" s="1638"/>
      <c r="K10" s="1638"/>
      <c r="L10" s="1638">
        <f>N69</f>
        <v>1256429</v>
      </c>
      <c r="M10" s="1638"/>
      <c r="N10" s="1638"/>
      <c r="O10" s="1641"/>
      <c r="P10" s="122"/>
      <c r="Z10" s="137">
        <f t="shared" si="0"/>
        <v>0</v>
      </c>
    </row>
    <row r="11" spans="1:35" s="119" customFormat="1" ht="27.75" customHeight="1">
      <c r="A11" s="218" t="s">
        <v>62</v>
      </c>
      <c r="B11" s="241" t="s">
        <v>417</v>
      </c>
      <c r="C11" s="270" t="s">
        <v>507</v>
      </c>
      <c r="D11" s="1710">
        <f>F79</f>
        <v>166176.85999999999</v>
      </c>
      <c r="E11" s="1638"/>
      <c r="F11" s="1638"/>
      <c r="G11" s="1638"/>
      <c r="H11" s="1638">
        <f>J79</f>
        <v>166176.85999999999</v>
      </c>
      <c r="I11" s="1638"/>
      <c r="J11" s="1638"/>
      <c r="K11" s="1638"/>
      <c r="L11" s="1638">
        <f>N79</f>
        <v>166176.85999999999</v>
      </c>
      <c r="M11" s="1638"/>
      <c r="N11" s="1638"/>
      <c r="O11" s="1641"/>
      <c r="P11" s="122"/>
      <c r="Z11" s="137">
        <f t="shared" si="0"/>
        <v>0</v>
      </c>
    </row>
    <row r="12" spans="1:35" s="119" customFormat="1" ht="27.75" customHeight="1">
      <c r="A12" s="243" t="s">
        <v>62</v>
      </c>
      <c r="B12" s="252" t="s">
        <v>416</v>
      </c>
      <c r="C12" s="299" t="s">
        <v>508</v>
      </c>
      <c r="D12" s="1681">
        <f>F90</f>
        <v>300000</v>
      </c>
      <c r="E12" s="1640"/>
      <c r="F12" s="1640"/>
      <c r="G12" s="1640"/>
      <c r="H12" s="1640">
        <f>J90</f>
        <v>300000</v>
      </c>
      <c r="I12" s="1640"/>
      <c r="J12" s="1640"/>
      <c r="K12" s="1640"/>
      <c r="L12" s="1640">
        <f>N90</f>
        <v>300000</v>
      </c>
      <c r="M12" s="1640"/>
      <c r="N12" s="1640"/>
      <c r="O12" s="1642"/>
      <c r="P12" s="122"/>
      <c r="Z12" s="137">
        <f t="shared" si="0"/>
        <v>0</v>
      </c>
      <c r="AA12" s="137"/>
      <c r="AD12" s="137"/>
      <c r="AE12" s="137"/>
      <c r="AH12" s="137"/>
      <c r="AI12" s="137"/>
    </row>
    <row r="13" spans="1:35" s="119" customFormat="1" ht="27.75" customHeight="1">
      <c r="A13" s="223"/>
      <c r="B13" s="320"/>
      <c r="C13" s="300" t="s">
        <v>438</v>
      </c>
      <c r="D13" s="1848">
        <f>SUM(D6:G12)</f>
        <v>1633099.25</v>
      </c>
      <c r="E13" s="1678"/>
      <c r="F13" s="1678"/>
      <c r="G13" s="1678"/>
      <c r="H13" s="1706">
        <f>SUM(H6:K12)</f>
        <v>1722605.8599999999</v>
      </c>
      <c r="I13" s="1707"/>
      <c r="J13" s="1707"/>
      <c r="K13" s="1668"/>
      <c r="L13" s="1706">
        <f>SUM(L6:O12)</f>
        <v>1722605.8599999999</v>
      </c>
      <c r="M13" s="1707"/>
      <c r="N13" s="1707"/>
      <c r="O13" s="1721"/>
      <c r="P13" s="122"/>
      <c r="Z13" s="137">
        <f t="shared" si="0"/>
        <v>0</v>
      </c>
    </row>
    <row r="14" spans="1:35" s="119" customFormat="1" ht="12" customHeight="1">
      <c r="A14" s="304"/>
      <c r="B14" s="304"/>
      <c r="P14" s="122"/>
      <c r="Z14" s="137">
        <f t="shared" si="0"/>
        <v>0</v>
      </c>
    </row>
    <row r="15" spans="1:35" s="144" customFormat="1" ht="12" hidden="1" customHeight="1">
      <c r="A15" s="304"/>
      <c r="B15" s="304"/>
      <c r="P15" s="122"/>
      <c r="Z15" s="137">
        <f t="shared" si="0"/>
        <v>0</v>
      </c>
    </row>
    <row r="16" spans="1:35" s="144" customFormat="1" ht="12" hidden="1" customHeight="1">
      <c r="A16" s="304"/>
      <c r="B16" s="304"/>
      <c r="P16" s="122"/>
      <c r="Z16" s="137">
        <f t="shared" si="0"/>
        <v>0</v>
      </c>
    </row>
    <row r="17" spans="1:35" s="213" customFormat="1" ht="36" customHeight="1">
      <c r="A17" s="1801" t="s">
        <v>509</v>
      </c>
      <c r="B17" s="1801"/>
      <c r="C17" s="1801"/>
      <c r="D17" s="1801"/>
      <c r="E17" s="1801"/>
      <c r="F17" s="1801"/>
      <c r="G17" s="1801"/>
      <c r="H17" s="1801"/>
      <c r="I17" s="1801"/>
      <c r="J17" s="1801"/>
      <c r="K17" s="1801"/>
      <c r="L17" s="1801"/>
      <c r="M17" s="1801"/>
      <c r="N17" s="1801"/>
      <c r="O17" s="1801"/>
      <c r="P17" s="215"/>
      <c r="Z17" s="137">
        <f t="shared" si="0"/>
        <v>0</v>
      </c>
    </row>
    <row r="18" spans="1:35" s="119" customFormat="1">
      <c r="A18" s="132"/>
      <c r="B18" s="132"/>
      <c r="P18" s="122"/>
      <c r="Z18" s="137">
        <f t="shared" si="0"/>
        <v>0</v>
      </c>
    </row>
    <row r="19" spans="1:35" s="119" customFormat="1" ht="33.75" customHeight="1">
      <c r="A19" s="1687" t="s">
        <v>430</v>
      </c>
      <c r="B19" s="1842" t="s">
        <v>493</v>
      </c>
      <c r="C19" s="1843"/>
      <c r="D19" s="1781" t="s">
        <v>1114</v>
      </c>
      <c r="E19" s="1782"/>
      <c r="F19" s="1782"/>
      <c r="G19" s="1783"/>
      <c r="H19" s="1784" t="s">
        <v>1115</v>
      </c>
      <c r="I19" s="1785"/>
      <c r="J19" s="1785"/>
      <c r="K19" s="1786"/>
      <c r="L19" s="1787" t="s">
        <v>1116</v>
      </c>
      <c r="M19" s="1785"/>
      <c r="N19" s="1785"/>
      <c r="O19" s="1786"/>
      <c r="P19" s="122"/>
      <c r="Z19" s="137">
        <f t="shared" si="0"/>
        <v>0</v>
      </c>
      <c r="AA19" s="137">
        <f>SUM(G22:G25)-SUBTOTAL(109,G22:G25)</f>
        <v>0</v>
      </c>
      <c r="AB19" s="137">
        <f>SUM(K22:K25)-SUBTOTAL(109,K22:K25)</f>
        <v>0</v>
      </c>
      <c r="AC19" s="137">
        <f>SUM(O22:O25)-SUBTOTAL(109,O22:O25)</f>
        <v>0</v>
      </c>
    </row>
    <row r="20" spans="1:35" s="119" customFormat="1" ht="76.5">
      <c r="A20" s="1688"/>
      <c r="B20" s="1844"/>
      <c r="C20" s="1845"/>
      <c r="D20" s="248" t="s">
        <v>510</v>
      </c>
      <c r="E20" s="251" t="s">
        <v>511</v>
      </c>
      <c r="F20" s="251" t="s">
        <v>512</v>
      </c>
      <c r="G20" s="282" t="s">
        <v>496</v>
      </c>
      <c r="H20" s="248" t="s">
        <v>510</v>
      </c>
      <c r="I20" s="251" t="s">
        <v>513</v>
      </c>
      <c r="J20" s="251" t="s">
        <v>512</v>
      </c>
      <c r="K20" s="282" t="s">
        <v>496</v>
      </c>
      <c r="L20" s="296" t="s">
        <v>514</v>
      </c>
      <c r="M20" s="251" t="s">
        <v>513</v>
      </c>
      <c r="N20" s="251" t="s">
        <v>512</v>
      </c>
      <c r="O20" s="282" t="s">
        <v>496</v>
      </c>
      <c r="P20" s="122"/>
      <c r="Z20" s="137">
        <f t="shared" si="0"/>
        <v>0</v>
      </c>
    </row>
    <row r="21" spans="1:35" s="144" customFormat="1">
      <c r="A21" s="249" t="s">
        <v>6</v>
      </c>
      <c r="B21" s="1833" t="s">
        <v>7</v>
      </c>
      <c r="C21" s="1834"/>
      <c r="D21" s="249" t="s">
        <v>8</v>
      </c>
      <c r="E21" s="250" t="s">
        <v>9</v>
      </c>
      <c r="F21" s="250" t="s">
        <v>10</v>
      </c>
      <c r="G21" s="288" t="s">
        <v>515</v>
      </c>
      <c r="H21" s="249" t="s">
        <v>416</v>
      </c>
      <c r="I21" s="250" t="s">
        <v>415</v>
      </c>
      <c r="J21" s="250" t="s">
        <v>414</v>
      </c>
      <c r="K21" s="288" t="s">
        <v>516</v>
      </c>
      <c r="L21" s="303" t="s">
        <v>418</v>
      </c>
      <c r="M21" s="250" t="s">
        <v>419</v>
      </c>
      <c r="N21" s="250" t="s">
        <v>517</v>
      </c>
      <c r="O21" s="288" t="s">
        <v>518</v>
      </c>
      <c r="P21" s="122"/>
      <c r="Z21" s="137">
        <f t="shared" si="0"/>
        <v>0</v>
      </c>
    </row>
    <row r="22" spans="1:35" s="301" customFormat="1" ht="30" customHeight="1">
      <c r="A22" s="225" t="s">
        <v>6</v>
      </c>
      <c r="B22" s="1835" t="s">
        <v>611</v>
      </c>
      <c r="C22" s="1836"/>
      <c r="D22" s="724">
        <v>1</v>
      </c>
      <c r="E22" s="725">
        <f>ROUNDDOWN(G22/500,0)</f>
        <v>0</v>
      </c>
      <c r="F22" s="725">
        <f>IFERROR(ROUND(G22/(D22*E22),2),0)</f>
        <v>0</v>
      </c>
      <c r="G22" s="735">
        <f>SUMIFS(Титульный!$O$69:$O$292,Титульный!$R$69:$R$292,'112, 113'!P22)</f>
        <v>0</v>
      </c>
      <c r="H22" s="724">
        <v>1</v>
      </c>
      <c r="I22" s="725">
        <f>ROUNDDOWN(K22/500,0)</f>
        <v>0</v>
      </c>
      <c r="J22" s="725">
        <f>IFERROR(ROUND(K22/(H22*I22),2),0)</f>
        <v>0</v>
      </c>
      <c r="K22" s="735">
        <f>SUMIFS(Титульный!$P$69:$P$292,Титульный!$R$69:$R$292,'112, 113'!P22)</f>
        <v>0</v>
      </c>
      <c r="L22" s="743">
        <v>1</v>
      </c>
      <c r="M22" s="725">
        <f>ROUNDDOWN(O22/500,0)</f>
        <v>0</v>
      </c>
      <c r="N22" s="725">
        <f>IFERROR(ROUND(O22/(L22*M22),2),0)</f>
        <v>0</v>
      </c>
      <c r="O22" s="735">
        <f>SUMIFS(Титульный!$Q$69:$Q$292,Титульный!$R$69:$R$292,'112, 113'!P22)</f>
        <v>0</v>
      </c>
      <c r="P22" s="301" t="s">
        <v>234</v>
      </c>
      <c r="Z22" s="137">
        <f t="shared" si="0"/>
        <v>0</v>
      </c>
    </row>
    <row r="23" spans="1:35" s="301" customFormat="1" ht="30" customHeight="1">
      <c r="A23" s="218" t="s">
        <v>7</v>
      </c>
      <c r="B23" s="1827" t="s">
        <v>612</v>
      </c>
      <c r="C23" s="1828"/>
      <c r="D23" s="723">
        <v>0</v>
      </c>
      <c r="E23" s="716">
        <f>ROUNDUP(G23/4000,0)</f>
        <v>0</v>
      </c>
      <c r="F23" s="716">
        <f>IFERROR(ROUND(G23/(D23*E23),2),0)</f>
        <v>0</v>
      </c>
      <c r="G23" s="722">
        <f>SUMIFS(Титульный!$O$69:$O$292,Титульный!$R$69:$R$292,'112, 113'!P23)-G35</f>
        <v>0</v>
      </c>
      <c r="H23" s="723">
        <v>0</v>
      </c>
      <c r="I23" s="716">
        <f>ROUNDUP(K23/2000,0)</f>
        <v>0</v>
      </c>
      <c r="J23" s="716">
        <f>IFERROR(ROUND(K23/(H23*I23),2),0)</f>
        <v>0</v>
      </c>
      <c r="K23" s="722">
        <f>SUMIFS(Титульный!$P$69:$P$292,Титульный!$R$69:$R$292,'112, 113'!P23)-K35</f>
        <v>0</v>
      </c>
      <c r="L23" s="723">
        <v>0</v>
      </c>
      <c r="M23" s="716">
        <f>ROUNDUP(O23/2000,0)</f>
        <v>0</v>
      </c>
      <c r="N23" s="716">
        <f>IFERROR(ROUND(O23/(L23*M23),2),0)</f>
        <v>0</v>
      </c>
      <c r="O23" s="722">
        <f>SUMIFS(Титульный!$Q$69:$Q$292,Титульный!$R$69:$R$292,'112, 113'!P23)-O35</f>
        <v>0</v>
      </c>
      <c r="P23" s="301" t="s">
        <v>235</v>
      </c>
      <c r="Z23" s="137">
        <f t="shared" si="0"/>
        <v>0</v>
      </c>
    </row>
    <row r="24" spans="1:35" s="301" customFormat="1" ht="30" customHeight="1">
      <c r="A24" s="218" t="s">
        <v>8</v>
      </c>
      <c r="B24" s="1827"/>
      <c r="C24" s="1828"/>
      <c r="D24" s="723"/>
      <c r="E24" s="716"/>
      <c r="F24" s="716"/>
      <c r="G24" s="722"/>
      <c r="H24" s="723"/>
      <c r="I24" s="716"/>
      <c r="J24" s="716"/>
      <c r="K24" s="722"/>
      <c r="L24" s="723"/>
      <c r="M24" s="716"/>
      <c r="N24" s="716"/>
      <c r="O24" s="722"/>
      <c r="Z24" s="137">
        <f t="shared" si="0"/>
        <v>0</v>
      </c>
    </row>
    <row r="25" spans="1:35" s="301" customFormat="1" ht="30" customHeight="1">
      <c r="A25" s="218" t="s">
        <v>9</v>
      </c>
      <c r="B25" s="1829"/>
      <c r="C25" s="1830"/>
      <c r="D25" s="726"/>
      <c r="E25" s="727"/>
      <c r="F25" s="727"/>
      <c r="G25" s="728"/>
      <c r="H25" s="726"/>
      <c r="I25" s="727"/>
      <c r="J25" s="727"/>
      <c r="K25" s="728"/>
      <c r="L25" s="732"/>
      <c r="M25" s="727"/>
      <c r="N25" s="727"/>
      <c r="O25" s="728"/>
      <c r="Y25" s="700"/>
      <c r="Z25" s="137">
        <f t="shared" si="0"/>
        <v>0</v>
      </c>
      <c r="AA25" s="700"/>
      <c r="AD25" s="700"/>
      <c r="AE25" s="700"/>
      <c r="AH25" s="700"/>
      <c r="AI25" s="700"/>
    </row>
    <row r="26" spans="1:35" s="301" customFormat="1" ht="30" customHeight="1">
      <c r="A26" s="323"/>
      <c r="B26" s="1825" t="s">
        <v>438</v>
      </c>
      <c r="C26" s="1837"/>
      <c r="D26" s="729" t="s">
        <v>412</v>
      </c>
      <c r="E26" s="730" t="s">
        <v>412</v>
      </c>
      <c r="F26" s="730" t="s">
        <v>412</v>
      </c>
      <c r="G26" s="731">
        <f>SUM(G22:G25)</f>
        <v>0</v>
      </c>
      <c r="H26" s="729" t="s">
        <v>412</v>
      </c>
      <c r="I26" s="730" t="s">
        <v>412</v>
      </c>
      <c r="J26" s="730" t="s">
        <v>412</v>
      </c>
      <c r="K26" s="731">
        <f>SUM(K22:K25)</f>
        <v>0</v>
      </c>
      <c r="L26" s="733" t="s">
        <v>412</v>
      </c>
      <c r="M26" s="730" t="s">
        <v>412</v>
      </c>
      <c r="N26" s="730" t="s">
        <v>412</v>
      </c>
      <c r="O26" s="731">
        <f>SUM(O22:O25)</f>
        <v>0</v>
      </c>
      <c r="Z26" s="137">
        <f t="shared" si="0"/>
        <v>0</v>
      </c>
    </row>
    <row r="27" spans="1:35" s="119" customFormat="1">
      <c r="A27" s="132"/>
      <c r="B27" s="132"/>
      <c r="P27" s="122"/>
      <c r="Z27" s="137">
        <f t="shared" si="0"/>
        <v>0</v>
      </c>
    </row>
    <row r="28" spans="1:35" s="298" customFormat="1" ht="12" hidden="1" customHeight="1">
      <c r="A28" s="132"/>
      <c r="B28" s="132"/>
      <c r="C28" s="144"/>
      <c r="D28" s="144"/>
      <c r="E28" s="144"/>
      <c r="F28" s="144"/>
      <c r="G28" s="144"/>
      <c r="H28" s="144"/>
      <c r="I28" s="144"/>
      <c r="J28" s="144"/>
      <c r="K28" s="144"/>
      <c r="L28" s="144"/>
      <c r="M28" s="144"/>
      <c r="N28" s="144"/>
      <c r="O28" s="144"/>
      <c r="Z28" s="137">
        <f t="shared" si="0"/>
        <v>0</v>
      </c>
    </row>
    <row r="29" spans="1:35" s="119" customFormat="1" hidden="1">
      <c r="A29" s="132"/>
      <c r="B29" s="132"/>
      <c r="C29" s="144"/>
      <c r="D29" s="144"/>
      <c r="E29" s="144"/>
      <c r="F29" s="144"/>
      <c r="G29" s="144"/>
      <c r="H29" s="144"/>
      <c r="I29" s="144"/>
      <c r="J29" s="144"/>
      <c r="K29" s="144"/>
      <c r="L29" s="144"/>
      <c r="M29" s="144"/>
      <c r="N29" s="144"/>
      <c r="O29" s="144"/>
      <c r="P29" s="122"/>
      <c r="Z29" s="137">
        <f t="shared" si="0"/>
        <v>0</v>
      </c>
    </row>
    <row r="30" spans="1:35" s="144" customFormat="1" ht="36" customHeight="1">
      <c r="A30" s="1801" t="s">
        <v>519</v>
      </c>
      <c r="B30" s="1801"/>
      <c r="C30" s="1801"/>
      <c r="D30" s="1801"/>
      <c r="E30" s="1801"/>
      <c r="F30" s="1801"/>
      <c r="G30" s="1801"/>
      <c r="H30" s="1801"/>
      <c r="I30" s="1801"/>
      <c r="J30" s="1801"/>
      <c r="K30" s="1801"/>
      <c r="L30" s="1801"/>
      <c r="M30" s="1801"/>
      <c r="N30" s="1801"/>
      <c r="O30" s="1801"/>
      <c r="P30" s="122"/>
      <c r="Z30" s="137">
        <f t="shared" si="0"/>
        <v>0</v>
      </c>
    </row>
    <row r="31" spans="1:35" s="119" customFormat="1">
      <c r="A31" s="132"/>
      <c r="B31" s="132"/>
      <c r="P31" s="122"/>
      <c r="Z31" s="137">
        <f t="shared" si="0"/>
        <v>0</v>
      </c>
    </row>
    <row r="32" spans="1:35" s="144" customFormat="1" ht="33.75" customHeight="1">
      <c r="A32" s="1687" t="s">
        <v>430</v>
      </c>
      <c r="B32" s="1812" t="s">
        <v>493</v>
      </c>
      <c r="C32" s="1813"/>
      <c r="D32" s="1781" t="s">
        <v>1114</v>
      </c>
      <c r="E32" s="1782"/>
      <c r="F32" s="1782"/>
      <c r="G32" s="1783"/>
      <c r="H32" s="1784" t="s">
        <v>1115</v>
      </c>
      <c r="I32" s="1785"/>
      <c r="J32" s="1785"/>
      <c r="K32" s="1786"/>
      <c r="L32" s="1787" t="s">
        <v>1116</v>
      </c>
      <c r="M32" s="1785"/>
      <c r="N32" s="1785"/>
      <c r="O32" s="1786"/>
      <c r="P32" s="122"/>
      <c r="Z32" s="137">
        <f t="shared" si="0"/>
        <v>0</v>
      </c>
      <c r="AA32" s="137">
        <f>SUM(G35:G37)-SUBTOTAL(109,G35:G37)</f>
        <v>0</v>
      </c>
      <c r="AB32" s="137">
        <f>SUM(K35:K37)-SUBTOTAL(109,K35:K37)</f>
        <v>0</v>
      </c>
      <c r="AC32" s="137">
        <f>SUM(O35:O37)-SUBTOTAL(109,O35:O37)</f>
        <v>0</v>
      </c>
    </row>
    <row r="33" spans="1:35" s="301" customFormat="1" ht="108.6" customHeight="1">
      <c r="A33" s="1688"/>
      <c r="B33" s="1814"/>
      <c r="C33" s="1815"/>
      <c r="D33" s="159" t="s">
        <v>520</v>
      </c>
      <c r="E33" s="151" t="s">
        <v>521</v>
      </c>
      <c r="F33" s="151" t="s">
        <v>522</v>
      </c>
      <c r="G33" s="152" t="s">
        <v>496</v>
      </c>
      <c r="H33" s="159" t="s">
        <v>520</v>
      </c>
      <c r="I33" s="151" t="s">
        <v>521</v>
      </c>
      <c r="J33" s="151" t="s">
        <v>522</v>
      </c>
      <c r="K33" s="152" t="s">
        <v>496</v>
      </c>
      <c r="L33" s="302" t="s">
        <v>520</v>
      </c>
      <c r="M33" s="151" t="s">
        <v>521</v>
      </c>
      <c r="N33" s="151" t="s">
        <v>522</v>
      </c>
      <c r="O33" s="152" t="s">
        <v>496</v>
      </c>
      <c r="Z33" s="137">
        <f t="shared" si="0"/>
        <v>0</v>
      </c>
    </row>
    <row r="34" spans="1:35" s="301" customFormat="1" ht="27.75" customHeight="1">
      <c r="A34" s="204" t="s">
        <v>6</v>
      </c>
      <c r="B34" s="1831" t="s">
        <v>7</v>
      </c>
      <c r="C34" s="1832"/>
      <c r="D34" s="204" t="s">
        <v>8</v>
      </c>
      <c r="E34" s="205" t="s">
        <v>9</v>
      </c>
      <c r="F34" s="205" t="s">
        <v>10</v>
      </c>
      <c r="G34" s="209" t="s">
        <v>515</v>
      </c>
      <c r="H34" s="204" t="s">
        <v>416</v>
      </c>
      <c r="I34" s="205" t="s">
        <v>415</v>
      </c>
      <c r="J34" s="205" t="s">
        <v>414</v>
      </c>
      <c r="K34" s="209" t="s">
        <v>516</v>
      </c>
      <c r="L34" s="207" t="s">
        <v>418</v>
      </c>
      <c r="M34" s="205" t="s">
        <v>419</v>
      </c>
      <c r="N34" s="205" t="s">
        <v>517</v>
      </c>
      <c r="O34" s="209" t="s">
        <v>518</v>
      </c>
      <c r="Z34" s="137">
        <f t="shared" si="0"/>
        <v>0</v>
      </c>
    </row>
    <row r="35" spans="1:35" s="301" customFormat="1" ht="30" customHeight="1">
      <c r="A35" s="225" t="s">
        <v>6</v>
      </c>
      <c r="B35" s="1821" t="s">
        <v>613</v>
      </c>
      <c r="C35" s="1822"/>
      <c r="D35" s="871">
        <v>1</v>
      </c>
      <c r="E35" s="872">
        <f>ROUNDDOWN(G35/3000,0)</f>
        <v>0</v>
      </c>
      <c r="F35" s="872">
        <f>IFERROR(ROUND(G35/(D35*E35),2),0)</f>
        <v>0</v>
      </c>
      <c r="G35" s="873">
        <f>SUMIFS(Титульный!$O$69:$O$292,Титульный!$R$69:$R$292,'112, 113'!P35)</f>
        <v>0</v>
      </c>
      <c r="H35" s="871">
        <v>0</v>
      </c>
      <c r="I35" s="872">
        <f>ROUNDDOWN(K35/3000,0)</f>
        <v>0</v>
      </c>
      <c r="J35" s="872">
        <f>IFERROR(ROUND(K35/(H35*I35),2),0)</f>
        <v>0</v>
      </c>
      <c r="K35" s="873">
        <f>SUMIFS(Титульный!$P$69:$P$292,Титульный!$R$69:$R$292,'112, 113'!P35)*0.5</f>
        <v>0</v>
      </c>
      <c r="L35" s="874">
        <v>0</v>
      </c>
      <c r="M35" s="872">
        <f>ROUNDDOWN(O35/3000,0)</f>
        <v>0</v>
      </c>
      <c r="N35" s="872">
        <f>IFERROR(ROUND(O35/(L35*M35),2),0)</f>
        <v>0</v>
      </c>
      <c r="O35" s="873">
        <f>SUMIFS(Титульный!$Q$69:$Q$292,Титульный!$R$69:$R$292,'112, 113'!P35)*0.5</f>
        <v>0</v>
      </c>
      <c r="P35" s="301" t="s">
        <v>235</v>
      </c>
      <c r="Z35" s="137">
        <f t="shared" si="0"/>
        <v>0</v>
      </c>
    </row>
    <row r="36" spans="1:35" s="301" customFormat="1" ht="30" customHeight="1">
      <c r="A36" s="218">
        <v>2</v>
      </c>
      <c r="B36" s="1823"/>
      <c r="C36" s="1824"/>
      <c r="D36" s="723"/>
      <c r="E36" s="716"/>
      <c r="F36" s="716"/>
      <c r="G36" s="722"/>
      <c r="H36" s="723"/>
      <c r="I36" s="716"/>
      <c r="J36" s="716"/>
      <c r="K36" s="722"/>
      <c r="L36" s="721"/>
      <c r="M36" s="716"/>
      <c r="N36" s="716"/>
      <c r="O36" s="722"/>
      <c r="Z36" s="137">
        <f t="shared" ref="Z36:Z67" si="1">SUM(AA36:AO36)</f>
        <v>0</v>
      </c>
    </row>
    <row r="37" spans="1:35" s="119" customFormat="1" ht="30" customHeight="1">
      <c r="A37" s="243">
        <v>3</v>
      </c>
      <c r="B37" s="1840"/>
      <c r="C37" s="1841"/>
      <c r="D37" s="726"/>
      <c r="E37" s="727"/>
      <c r="F37" s="727"/>
      <c r="G37" s="728"/>
      <c r="H37" s="726"/>
      <c r="I37" s="727"/>
      <c r="J37" s="727"/>
      <c r="K37" s="728"/>
      <c r="L37" s="732"/>
      <c r="M37" s="727"/>
      <c r="N37" s="727"/>
      <c r="O37" s="728"/>
      <c r="P37" s="122"/>
      <c r="Z37" s="137">
        <f t="shared" si="1"/>
        <v>0</v>
      </c>
      <c r="AA37" s="700"/>
      <c r="AE37" s="700"/>
      <c r="AI37" s="700"/>
    </row>
    <row r="38" spans="1:35" s="298" customFormat="1" ht="30" customHeight="1">
      <c r="A38" s="223"/>
      <c r="B38" s="1825" t="s">
        <v>438</v>
      </c>
      <c r="C38" s="1826"/>
      <c r="D38" s="729" t="s">
        <v>412</v>
      </c>
      <c r="E38" s="730" t="s">
        <v>412</v>
      </c>
      <c r="F38" s="730" t="s">
        <v>412</v>
      </c>
      <c r="G38" s="731">
        <f>SUM(G35:G37)</f>
        <v>0</v>
      </c>
      <c r="H38" s="729" t="s">
        <v>412</v>
      </c>
      <c r="I38" s="730" t="s">
        <v>412</v>
      </c>
      <c r="J38" s="730" t="s">
        <v>412</v>
      </c>
      <c r="K38" s="731">
        <f>SUM(K35:K37)</f>
        <v>0</v>
      </c>
      <c r="L38" s="733" t="s">
        <v>412</v>
      </c>
      <c r="M38" s="730" t="s">
        <v>412</v>
      </c>
      <c r="N38" s="730" t="s">
        <v>412</v>
      </c>
      <c r="O38" s="731">
        <f>SUM(O35:O37)</f>
        <v>0</v>
      </c>
      <c r="Z38" s="137">
        <f t="shared" si="1"/>
        <v>0</v>
      </c>
    </row>
    <row r="39" spans="1:35" s="119" customFormat="1">
      <c r="A39" s="132"/>
      <c r="B39" s="132"/>
      <c r="P39" s="122"/>
      <c r="Z39" s="137">
        <f t="shared" si="1"/>
        <v>0</v>
      </c>
    </row>
    <row r="40" spans="1:35" s="119" customFormat="1" ht="12" hidden="1" customHeight="1">
      <c r="A40" s="132"/>
      <c r="B40" s="132"/>
      <c r="C40" s="144"/>
      <c r="D40" s="144"/>
      <c r="E40" s="144"/>
      <c r="F40" s="144"/>
      <c r="G40" s="144"/>
      <c r="H40" s="144"/>
      <c r="I40" s="144"/>
      <c r="J40" s="144"/>
      <c r="K40" s="144"/>
      <c r="L40" s="144"/>
      <c r="M40" s="144"/>
      <c r="N40" s="144"/>
      <c r="O40" s="144"/>
      <c r="P40" s="122"/>
      <c r="Z40" s="137">
        <f t="shared" si="1"/>
        <v>0</v>
      </c>
    </row>
    <row r="41" spans="1:35" s="119" customFormat="1" hidden="1">
      <c r="A41" s="132"/>
      <c r="B41" s="132"/>
      <c r="C41" s="144"/>
      <c r="D41" s="144"/>
      <c r="E41" s="144"/>
      <c r="F41" s="144"/>
      <c r="G41" s="144"/>
      <c r="H41" s="144"/>
      <c r="I41" s="144"/>
      <c r="J41" s="144"/>
      <c r="K41" s="144"/>
      <c r="L41" s="144"/>
      <c r="M41" s="144"/>
      <c r="N41" s="144"/>
      <c r="O41" s="144"/>
      <c r="P41" s="122"/>
      <c r="Z41" s="137">
        <f t="shared" si="1"/>
        <v>0</v>
      </c>
    </row>
    <row r="42" spans="1:35" s="121" customFormat="1" ht="36" customHeight="1">
      <c r="A42" s="1801" t="s">
        <v>523</v>
      </c>
      <c r="B42" s="1801"/>
      <c r="C42" s="1801"/>
      <c r="D42" s="1801"/>
      <c r="E42" s="1801"/>
      <c r="F42" s="1801"/>
      <c r="G42" s="1801"/>
      <c r="H42" s="1801"/>
      <c r="I42" s="1801"/>
      <c r="J42" s="1801"/>
      <c r="K42" s="1801"/>
      <c r="L42" s="1801"/>
      <c r="M42" s="1801"/>
      <c r="N42" s="1801"/>
      <c r="O42" s="1801"/>
      <c r="P42" s="132"/>
      <c r="Z42" s="137">
        <f t="shared" si="1"/>
        <v>0</v>
      </c>
    </row>
    <row r="43" spans="1:35" s="119" customFormat="1" ht="12" customHeight="1">
      <c r="A43" s="132"/>
      <c r="B43" s="132"/>
      <c r="P43" s="122"/>
      <c r="Z43" s="137">
        <f t="shared" si="1"/>
        <v>0</v>
      </c>
    </row>
    <row r="44" spans="1:35" s="119" customFormat="1" ht="34.5" customHeight="1">
      <c r="A44" s="1687" t="s">
        <v>430</v>
      </c>
      <c r="B44" s="1812" t="s">
        <v>493</v>
      </c>
      <c r="C44" s="1813"/>
      <c r="D44" s="1781" t="s">
        <v>1114</v>
      </c>
      <c r="E44" s="1782"/>
      <c r="F44" s="1782"/>
      <c r="G44" s="1783"/>
      <c r="H44" s="1784" t="s">
        <v>1115</v>
      </c>
      <c r="I44" s="1785"/>
      <c r="J44" s="1785"/>
      <c r="K44" s="1786"/>
      <c r="L44" s="1787" t="s">
        <v>1116</v>
      </c>
      <c r="M44" s="1785"/>
      <c r="N44" s="1785"/>
      <c r="O44" s="1786"/>
      <c r="P44" s="122"/>
      <c r="Z44" s="137">
        <f t="shared" si="1"/>
        <v>0</v>
      </c>
      <c r="AA44" s="137">
        <f>SUM(F47:G48)-SUBTOTAL(109,F47:G48)</f>
        <v>0</v>
      </c>
      <c r="AB44" s="137">
        <f>SUM(J47:K48)-SUBTOTAL(109,J47:K48)</f>
        <v>0</v>
      </c>
      <c r="AC44" s="137">
        <f>SUM(N47:O48)-SUBTOTAL(109,N47:O48)</f>
        <v>0</v>
      </c>
    </row>
    <row r="45" spans="1:35" s="144" customFormat="1" ht="80.25" customHeight="1">
      <c r="A45" s="1688"/>
      <c r="B45" s="1814"/>
      <c r="C45" s="1815"/>
      <c r="D45" s="248" t="s">
        <v>524</v>
      </c>
      <c r="E45" s="251" t="s">
        <v>525</v>
      </c>
      <c r="F45" s="1816" t="s">
        <v>496</v>
      </c>
      <c r="G45" s="1817"/>
      <c r="H45" s="248" t="s">
        <v>520</v>
      </c>
      <c r="I45" s="251" t="s">
        <v>525</v>
      </c>
      <c r="J45" s="1816" t="s">
        <v>526</v>
      </c>
      <c r="K45" s="1817"/>
      <c r="L45" s="296" t="s">
        <v>520</v>
      </c>
      <c r="M45" s="251" t="s">
        <v>525</v>
      </c>
      <c r="N45" s="1816" t="s">
        <v>496</v>
      </c>
      <c r="O45" s="1817"/>
      <c r="P45" s="122"/>
      <c r="Z45" s="137">
        <f t="shared" si="1"/>
        <v>0</v>
      </c>
    </row>
    <row r="46" spans="1:35" s="119" customFormat="1">
      <c r="A46" s="187" t="s">
        <v>6</v>
      </c>
      <c r="B46" s="1760" t="s">
        <v>7</v>
      </c>
      <c r="C46" s="1807"/>
      <c r="D46" s="153" t="s">
        <v>8</v>
      </c>
      <c r="E46" s="154" t="s">
        <v>9</v>
      </c>
      <c r="F46" s="1760" t="s">
        <v>527</v>
      </c>
      <c r="G46" s="1761"/>
      <c r="H46" s="153" t="s">
        <v>417</v>
      </c>
      <c r="I46" s="154" t="s">
        <v>416</v>
      </c>
      <c r="J46" s="1808" t="s">
        <v>528</v>
      </c>
      <c r="K46" s="1809"/>
      <c r="L46" s="162" t="s">
        <v>414</v>
      </c>
      <c r="M46" s="154" t="s">
        <v>413</v>
      </c>
      <c r="N46" s="1808" t="s">
        <v>529</v>
      </c>
      <c r="O46" s="1809"/>
      <c r="P46" s="876"/>
      <c r="Z46" s="137">
        <f t="shared" si="1"/>
        <v>0</v>
      </c>
    </row>
    <row r="47" spans="1:35" s="144" customFormat="1" ht="27.75" customHeight="1">
      <c r="A47" s="236" t="s">
        <v>6</v>
      </c>
      <c r="B47" s="1810" t="s">
        <v>608</v>
      </c>
      <c r="C47" s="1811"/>
      <c r="D47" s="350">
        <f>ROUNDUP(F47/750,0)</f>
        <v>0</v>
      </c>
      <c r="E47" s="717">
        <f>IFERROR(ROUND(F47/D47,2),0)</f>
        <v>0</v>
      </c>
      <c r="F47" s="1704">
        <f>SUMIFS(Титульный!$O$69:$O$292,Титульный!$R$69:$R$292,'112, 113'!P47)</f>
        <v>0</v>
      </c>
      <c r="G47" s="1708"/>
      <c r="H47" s="350">
        <f>ROUNDUP(J47/750,0)</f>
        <v>0</v>
      </c>
      <c r="I47" s="717">
        <f>IFERROR(ROUND(J47/H47,2),0)</f>
        <v>0</v>
      </c>
      <c r="J47" s="1704">
        <f>SUMIFS(Титульный!$P$69:$P$292,Титульный!$R$69:$R$292,'112, 113'!P47)</f>
        <v>0</v>
      </c>
      <c r="K47" s="1708"/>
      <c r="L47" s="720">
        <f>ROUNDUP(N47/750,0)</f>
        <v>0</v>
      </c>
      <c r="M47" s="717">
        <f>IFERROR(ROUND(N47/L47,2),0)</f>
        <v>0</v>
      </c>
      <c r="N47" s="1704">
        <f>SUMIFS(Титульный!$Q$69:$Q$292,Титульный!$R$69:$R$292,'112, 113'!P47)</f>
        <v>0</v>
      </c>
      <c r="O47" s="1708"/>
      <c r="P47" s="877" t="s">
        <v>236</v>
      </c>
      <c r="Z47" s="137">
        <f t="shared" si="1"/>
        <v>0</v>
      </c>
    </row>
    <row r="48" spans="1:35" s="144" customFormat="1" ht="27.75" customHeight="1">
      <c r="A48" s="222">
        <v>2</v>
      </c>
      <c r="B48" s="1819" t="s">
        <v>237</v>
      </c>
      <c r="C48" s="1820"/>
      <c r="D48" s="742">
        <f>ROUNDUP(F48/5753.75,0)</f>
        <v>1</v>
      </c>
      <c r="E48" s="738">
        <f>IFERROR(ROUND(F48/D48,2),0)</f>
        <v>1900</v>
      </c>
      <c r="F48" s="1792">
        <f>SUMIFS(Титульный!$O$69:$O$292,Титульный!$R$69:$R$292,'112, 113'!P48)</f>
        <v>1900</v>
      </c>
      <c r="G48" s="1793"/>
      <c r="H48" s="742">
        <f>ROUNDUP(J48/5753.75,0)</f>
        <v>0</v>
      </c>
      <c r="I48" s="738">
        <f>IFERROR(ROUND(J48/H48,2),0)</f>
        <v>0</v>
      </c>
      <c r="J48" s="1792">
        <f>SUMIFS(Титульный!$P$69:$P$292,Титульный!$R$69:$R$292,'112, 113'!P48)</f>
        <v>0</v>
      </c>
      <c r="K48" s="1793"/>
      <c r="L48" s="742">
        <f>ROUNDUP(N48/5753.75,0)</f>
        <v>0</v>
      </c>
      <c r="M48" s="738">
        <f>IFERROR(ROUND(N48/L48,2),0)</f>
        <v>0</v>
      </c>
      <c r="N48" s="1792">
        <f>SUMIFS(Титульный!$Q$69:$Q$292,Титульный!$R$69:$R$292,'112, 113'!P48)</f>
        <v>0</v>
      </c>
      <c r="O48" s="1793"/>
      <c r="P48" s="878" t="s">
        <v>237</v>
      </c>
      <c r="Z48" s="137">
        <f t="shared" si="1"/>
        <v>0</v>
      </c>
      <c r="AA48" s="700"/>
      <c r="AE48" s="700"/>
      <c r="AI48" s="700"/>
    </row>
    <row r="49" spans="1:35" s="298" customFormat="1" ht="27.75" customHeight="1">
      <c r="A49" s="206"/>
      <c r="B49" s="1798" t="s">
        <v>438</v>
      </c>
      <c r="C49" s="1799"/>
      <c r="D49" s="736" t="s">
        <v>412</v>
      </c>
      <c r="E49" s="734" t="s">
        <v>412</v>
      </c>
      <c r="F49" s="1667">
        <f>SUM(F47:G48)</f>
        <v>1900</v>
      </c>
      <c r="G49" s="1800"/>
      <c r="H49" s="736" t="s">
        <v>412</v>
      </c>
      <c r="I49" s="734" t="s">
        <v>412</v>
      </c>
      <c r="J49" s="1667">
        <f>SUM(J47:K48)</f>
        <v>0</v>
      </c>
      <c r="K49" s="1800"/>
      <c r="L49" s="718" t="s">
        <v>412</v>
      </c>
      <c r="M49" s="734" t="s">
        <v>412</v>
      </c>
      <c r="N49" s="1667">
        <f>SUM(N47:O48)</f>
        <v>0</v>
      </c>
      <c r="O49" s="1800"/>
      <c r="P49" s="875"/>
      <c r="Z49" s="137">
        <f t="shared" si="1"/>
        <v>0</v>
      </c>
    </row>
    <row r="50" spans="1:35" s="119" customFormat="1" ht="13.5" customHeight="1">
      <c r="A50" s="132"/>
      <c r="B50" s="132"/>
      <c r="P50" s="122"/>
      <c r="Z50" s="137">
        <f t="shared" si="1"/>
        <v>0</v>
      </c>
    </row>
    <row r="51" spans="1:35" s="144" customFormat="1" ht="12" hidden="1" customHeight="1">
      <c r="A51" s="132"/>
      <c r="B51" s="132"/>
      <c r="P51" s="122"/>
      <c r="Z51" s="137">
        <f t="shared" si="1"/>
        <v>0</v>
      </c>
    </row>
    <row r="52" spans="1:35" s="119" customFormat="1" ht="12" hidden="1" customHeight="1">
      <c r="A52" s="132"/>
      <c r="B52" s="132"/>
      <c r="C52" s="144"/>
      <c r="D52" s="144"/>
      <c r="E52" s="144"/>
      <c r="F52" s="144"/>
      <c r="G52" s="144"/>
      <c r="H52" s="144"/>
      <c r="I52" s="144"/>
      <c r="J52" s="144"/>
      <c r="K52" s="144"/>
      <c r="L52" s="144"/>
      <c r="M52" s="144"/>
      <c r="N52" s="144"/>
      <c r="O52" s="144"/>
      <c r="P52" s="122"/>
      <c r="Z52" s="137">
        <f t="shared" si="1"/>
        <v>0</v>
      </c>
    </row>
    <row r="53" spans="1:35" s="121" customFormat="1" ht="36" customHeight="1">
      <c r="A53" s="1801" t="s">
        <v>530</v>
      </c>
      <c r="B53" s="1801"/>
      <c r="C53" s="1801"/>
      <c r="D53" s="1801"/>
      <c r="E53" s="1801"/>
      <c r="F53" s="1801"/>
      <c r="G53" s="1801"/>
      <c r="H53" s="1801"/>
      <c r="I53" s="1801"/>
      <c r="J53" s="1801"/>
      <c r="K53" s="1801"/>
      <c r="L53" s="1801"/>
      <c r="M53" s="1801"/>
      <c r="N53" s="1801"/>
      <c r="O53" s="1801"/>
      <c r="P53" s="132"/>
      <c r="Z53" s="137">
        <f t="shared" si="1"/>
        <v>0</v>
      </c>
    </row>
    <row r="54" spans="1:35" s="119" customFormat="1" ht="12" customHeight="1">
      <c r="A54" s="132"/>
      <c r="B54" s="132"/>
      <c r="P54" s="122"/>
      <c r="Z54" s="137">
        <f t="shared" si="1"/>
        <v>0</v>
      </c>
    </row>
    <row r="55" spans="1:35" s="119" customFormat="1" ht="34.5" customHeight="1">
      <c r="A55" s="1687" t="s">
        <v>430</v>
      </c>
      <c r="B55" s="1812" t="s">
        <v>493</v>
      </c>
      <c r="C55" s="1726"/>
      <c r="D55" s="1781" t="s">
        <v>1114</v>
      </c>
      <c r="E55" s="1782"/>
      <c r="F55" s="1782"/>
      <c r="G55" s="1783"/>
      <c r="H55" s="1784" t="s">
        <v>1115</v>
      </c>
      <c r="I55" s="1785"/>
      <c r="J55" s="1785"/>
      <c r="K55" s="1786"/>
      <c r="L55" s="1787" t="s">
        <v>1116</v>
      </c>
      <c r="M55" s="1785"/>
      <c r="N55" s="1785"/>
      <c r="O55" s="1786"/>
      <c r="P55" s="122"/>
      <c r="Z55" s="137">
        <f t="shared" si="1"/>
        <v>0</v>
      </c>
      <c r="AA55" s="137">
        <f>SUM(G58)-SUBTOTAL(109,G58)</f>
        <v>0</v>
      </c>
      <c r="AB55" s="137">
        <f>SUM(K58)-SUBTOTAL(109,K58)</f>
        <v>0</v>
      </c>
      <c r="AC55" s="137">
        <f>SUM(O58)-SUBTOTAL(109,O58)</f>
        <v>0</v>
      </c>
    </row>
    <row r="56" spans="1:35" s="119" customFormat="1" ht="51">
      <c r="A56" s="1688"/>
      <c r="B56" s="1818"/>
      <c r="C56" s="1727"/>
      <c r="D56" s="155" t="s">
        <v>524</v>
      </c>
      <c r="E56" s="156" t="s">
        <v>531</v>
      </c>
      <c r="F56" s="156" t="s">
        <v>532</v>
      </c>
      <c r="G56" s="150" t="s">
        <v>496</v>
      </c>
      <c r="H56" s="155" t="s">
        <v>524</v>
      </c>
      <c r="I56" s="156" t="s">
        <v>531</v>
      </c>
      <c r="J56" s="156" t="s">
        <v>532</v>
      </c>
      <c r="K56" s="150" t="s">
        <v>496</v>
      </c>
      <c r="L56" s="155" t="s">
        <v>524</v>
      </c>
      <c r="M56" s="156" t="s">
        <v>531</v>
      </c>
      <c r="N56" s="156" t="s">
        <v>532</v>
      </c>
      <c r="O56" s="150" t="s">
        <v>496</v>
      </c>
      <c r="P56" s="122"/>
      <c r="Z56" s="137">
        <f t="shared" si="1"/>
        <v>0</v>
      </c>
    </row>
    <row r="57" spans="1:35" s="144" customFormat="1">
      <c r="A57" s="187" t="s">
        <v>6</v>
      </c>
      <c r="B57" s="1760" t="s">
        <v>7</v>
      </c>
      <c r="C57" s="1761"/>
      <c r="D57" s="153" t="s">
        <v>8</v>
      </c>
      <c r="E57" s="154" t="s">
        <v>9</v>
      </c>
      <c r="F57" s="154" t="s">
        <v>10</v>
      </c>
      <c r="G57" s="161" t="s">
        <v>515</v>
      </c>
      <c r="H57" s="153" t="s">
        <v>416</v>
      </c>
      <c r="I57" s="154" t="s">
        <v>415</v>
      </c>
      <c r="J57" s="154" t="s">
        <v>414</v>
      </c>
      <c r="K57" s="161" t="s">
        <v>516</v>
      </c>
      <c r="L57" s="153" t="s">
        <v>418</v>
      </c>
      <c r="M57" s="154" t="s">
        <v>419</v>
      </c>
      <c r="N57" s="154" t="s">
        <v>517</v>
      </c>
      <c r="O57" s="161" t="s">
        <v>518</v>
      </c>
      <c r="P57" s="122"/>
      <c r="Z57" s="137">
        <f t="shared" si="1"/>
        <v>0</v>
      </c>
    </row>
    <row r="58" spans="1:35" s="144" customFormat="1" ht="27.75" customHeight="1">
      <c r="A58" s="222" t="s">
        <v>6</v>
      </c>
      <c r="B58" s="1819" t="s">
        <v>610</v>
      </c>
      <c r="C58" s="1820"/>
      <c r="D58" s="742">
        <f>ROUNDUP(G58/F58/12,0)</f>
        <v>0</v>
      </c>
      <c r="E58" s="738">
        <f>IFERROR(ROUND(G58/F58/D58,2),0)</f>
        <v>0</v>
      </c>
      <c r="F58" s="348">
        <v>75</v>
      </c>
      <c r="G58" s="873">
        <f>SUMIFS(Титульный!$O$69:$O$292,Титульный!$R$69:$R$292,'112, 113'!P58)</f>
        <v>0</v>
      </c>
      <c r="H58" s="742">
        <f>ROUNDUP(K58/J58/12,0)</f>
        <v>0</v>
      </c>
      <c r="I58" s="738">
        <f>IFERROR(ROUND(K58/J58/H58,2),0)</f>
        <v>0</v>
      </c>
      <c r="J58" s="348">
        <v>75</v>
      </c>
      <c r="K58" s="349">
        <f>SUMIFS(Титульный!$P$69:$P$292,Титульный!$R$69:$R$292,'112, 113'!P58)</f>
        <v>0</v>
      </c>
      <c r="L58" s="744">
        <f>ROUNDUP(O58/N58/12,0)</f>
        <v>0</v>
      </c>
      <c r="M58" s="738">
        <f>IFERROR(ROUND(O58/N58/L58,2),0)</f>
        <v>0</v>
      </c>
      <c r="N58" s="348">
        <v>75</v>
      </c>
      <c r="O58" s="349">
        <f>SUMIFS(Титульный!$Q$69:$Q$292,Титульный!$R$69:$R$292,'112, 113'!P58)</f>
        <v>0</v>
      </c>
      <c r="P58" s="123" t="s">
        <v>269</v>
      </c>
      <c r="Z58" s="137">
        <f t="shared" si="1"/>
        <v>0</v>
      </c>
      <c r="AA58" s="700"/>
      <c r="AE58" s="700"/>
      <c r="AI58" s="700"/>
    </row>
    <row r="59" spans="1:35" s="298" customFormat="1" ht="27.75" customHeight="1">
      <c r="A59" s="206"/>
      <c r="B59" s="1798" t="s">
        <v>438</v>
      </c>
      <c r="C59" s="1799"/>
      <c r="D59" s="736" t="s">
        <v>412</v>
      </c>
      <c r="E59" s="734" t="s">
        <v>412</v>
      </c>
      <c r="F59" s="734" t="s">
        <v>412</v>
      </c>
      <c r="G59" s="737">
        <f>G58</f>
        <v>0</v>
      </c>
      <c r="H59" s="736" t="s">
        <v>412</v>
      </c>
      <c r="I59" s="734" t="s">
        <v>412</v>
      </c>
      <c r="J59" s="734" t="s">
        <v>412</v>
      </c>
      <c r="K59" s="737">
        <f>K58</f>
        <v>0</v>
      </c>
      <c r="L59" s="718" t="s">
        <v>412</v>
      </c>
      <c r="M59" s="734" t="s">
        <v>412</v>
      </c>
      <c r="N59" s="734" t="s">
        <v>412</v>
      </c>
      <c r="O59" s="737">
        <f>O58</f>
        <v>0</v>
      </c>
      <c r="Z59" s="137">
        <f t="shared" si="1"/>
        <v>0</v>
      </c>
    </row>
    <row r="60" spans="1:35" s="119" customFormat="1" ht="12" customHeight="1">
      <c r="A60" s="132"/>
      <c r="B60" s="132"/>
      <c r="P60" s="122"/>
      <c r="Z60" s="137">
        <f t="shared" si="1"/>
        <v>0</v>
      </c>
    </row>
    <row r="61" spans="1:35" s="144" customFormat="1" ht="12" hidden="1" customHeight="1">
      <c r="A61" s="132"/>
      <c r="B61" s="132"/>
      <c r="P61" s="122"/>
      <c r="Z61" s="137">
        <f t="shared" si="1"/>
        <v>0</v>
      </c>
    </row>
    <row r="62" spans="1:35" s="144" customFormat="1" hidden="1">
      <c r="A62" s="132"/>
      <c r="B62" s="132"/>
      <c r="P62" s="122"/>
      <c r="Z62" s="137">
        <f t="shared" si="1"/>
        <v>0</v>
      </c>
    </row>
    <row r="63" spans="1:35" s="121" customFormat="1" ht="36" customHeight="1">
      <c r="A63" s="1801" t="s">
        <v>533</v>
      </c>
      <c r="B63" s="1801"/>
      <c r="C63" s="1801"/>
      <c r="D63" s="1801"/>
      <c r="E63" s="1801"/>
      <c r="F63" s="1801"/>
      <c r="G63" s="1801"/>
      <c r="H63" s="1801"/>
      <c r="I63" s="1801"/>
      <c r="J63" s="1801"/>
      <c r="K63" s="1801"/>
      <c r="L63" s="1801"/>
      <c r="M63" s="1801"/>
      <c r="N63" s="1801"/>
      <c r="O63" s="1801"/>
      <c r="P63" s="132"/>
      <c r="Z63" s="137">
        <f t="shared" si="1"/>
        <v>0</v>
      </c>
    </row>
    <row r="64" spans="1:35" s="144" customFormat="1" ht="12" customHeight="1">
      <c r="A64" s="305"/>
      <c r="B64" s="305"/>
      <c r="C64" s="131"/>
      <c r="D64" s="131"/>
      <c r="E64" s="131"/>
      <c r="F64" s="131"/>
      <c r="G64" s="131"/>
      <c r="H64" s="131"/>
      <c r="I64" s="131"/>
      <c r="J64" s="131"/>
      <c r="K64" s="131"/>
      <c r="L64" s="131"/>
      <c r="M64" s="131"/>
      <c r="N64" s="131"/>
      <c r="O64" s="131"/>
      <c r="P64" s="122"/>
      <c r="Z64" s="137">
        <f t="shared" si="1"/>
        <v>0</v>
      </c>
    </row>
    <row r="65" spans="1:35" s="119" customFormat="1" ht="34.5" customHeight="1">
      <c r="A65" s="1687" t="s">
        <v>430</v>
      </c>
      <c r="B65" s="1812" t="s">
        <v>493</v>
      </c>
      <c r="C65" s="1813"/>
      <c r="D65" s="1781" t="s">
        <v>1114</v>
      </c>
      <c r="E65" s="1782"/>
      <c r="F65" s="1782"/>
      <c r="G65" s="1783"/>
      <c r="H65" s="1784" t="s">
        <v>1115</v>
      </c>
      <c r="I65" s="1785"/>
      <c r="J65" s="1785"/>
      <c r="K65" s="1786"/>
      <c r="L65" s="1787" t="s">
        <v>1116</v>
      </c>
      <c r="M65" s="1785"/>
      <c r="N65" s="1785"/>
      <c r="O65" s="1786"/>
      <c r="P65" s="122"/>
      <c r="Z65" s="137">
        <f t="shared" si="1"/>
        <v>0</v>
      </c>
      <c r="AA65" s="137">
        <f>SUM(F68)-SUBTOTAL(109,F68)</f>
        <v>0</v>
      </c>
      <c r="AB65" s="137">
        <f>SUM(J68)-SUBTOTAL(109,J68)</f>
        <v>0</v>
      </c>
      <c r="AC65" s="137">
        <f>SUM(N68)-SUBTOTAL(109,N68)</f>
        <v>0</v>
      </c>
    </row>
    <row r="66" spans="1:35" s="144" customFormat="1" ht="69" customHeight="1">
      <c r="A66" s="1688"/>
      <c r="B66" s="1814"/>
      <c r="C66" s="1815"/>
      <c r="D66" s="169" t="s">
        <v>524</v>
      </c>
      <c r="E66" s="171" t="s">
        <v>534</v>
      </c>
      <c r="F66" s="1838" t="s">
        <v>496</v>
      </c>
      <c r="G66" s="1839"/>
      <c r="H66" s="169" t="s">
        <v>524</v>
      </c>
      <c r="I66" s="171" t="s">
        <v>534</v>
      </c>
      <c r="J66" s="1838" t="s">
        <v>526</v>
      </c>
      <c r="K66" s="1839"/>
      <c r="L66" s="169" t="s">
        <v>524</v>
      </c>
      <c r="M66" s="171" t="s">
        <v>534</v>
      </c>
      <c r="N66" s="1838" t="s">
        <v>496</v>
      </c>
      <c r="O66" s="1839"/>
      <c r="P66" s="122"/>
      <c r="Z66" s="137">
        <f t="shared" si="1"/>
        <v>0</v>
      </c>
    </row>
    <row r="67" spans="1:35" s="144" customFormat="1" ht="17.25" customHeight="1">
      <c r="A67" s="187" t="s">
        <v>6</v>
      </c>
      <c r="B67" s="1760" t="s">
        <v>7</v>
      </c>
      <c r="C67" s="1807"/>
      <c r="D67" s="153" t="s">
        <v>8</v>
      </c>
      <c r="E67" s="154" t="s">
        <v>9</v>
      </c>
      <c r="F67" s="1760" t="s">
        <v>527</v>
      </c>
      <c r="G67" s="1761"/>
      <c r="H67" s="153" t="s">
        <v>417</v>
      </c>
      <c r="I67" s="154" t="s">
        <v>416</v>
      </c>
      <c r="J67" s="1808" t="s">
        <v>528</v>
      </c>
      <c r="K67" s="1809"/>
      <c r="L67" s="153" t="s">
        <v>414</v>
      </c>
      <c r="M67" s="154" t="s">
        <v>413</v>
      </c>
      <c r="N67" s="1808" t="s">
        <v>529</v>
      </c>
      <c r="O67" s="1809"/>
      <c r="P67" s="122"/>
      <c r="Z67" s="137">
        <f t="shared" si="1"/>
        <v>0</v>
      </c>
    </row>
    <row r="68" spans="1:35" s="119" customFormat="1" ht="48" customHeight="1">
      <c r="A68" s="236" t="s">
        <v>6</v>
      </c>
      <c r="B68" s="1810" t="s">
        <v>609</v>
      </c>
      <c r="C68" s="1811"/>
      <c r="D68" s="350">
        <f>ROUND('111'!D16/2,0)</f>
        <v>51</v>
      </c>
      <c r="E68" s="717">
        <f>IFERROR(ROUND(F68/D68,2),0)</f>
        <v>22843.58</v>
      </c>
      <c r="F68" s="1704">
        <f>SUMIFS(Титульный!$O$69:$O$292,Титульный!$R$69:$R$292,'112, 113'!P68)</f>
        <v>1165022.3900000001</v>
      </c>
      <c r="G68" s="1708"/>
      <c r="H68" s="350">
        <f>ROUND('111'!D27/2,0)</f>
        <v>51</v>
      </c>
      <c r="I68" s="717">
        <f>IFERROR(ROUND(J68/H68,2),0)</f>
        <v>24635.86</v>
      </c>
      <c r="J68" s="1704">
        <f>SUMIFS(Титульный!$P$69:$P$292,Титульный!$R$69:$R$292,'112, 113'!P68)</f>
        <v>1256429</v>
      </c>
      <c r="K68" s="1708"/>
      <c r="L68" s="720">
        <f>ROUND('111'!D38/2,0)</f>
        <v>51</v>
      </c>
      <c r="M68" s="717">
        <f>IFERROR(ROUND(N68/L68,2),0)</f>
        <v>24635.86</v>
      </c>
      <c r="N68" s="1704">
        <f>SUMIFS(Титульный!$Q$69:$Q$292,Титульный!$R$69:$R$292,'112, 113'!P68)</f>
        <v>1256429</v>
      </c>
      <c r="O68" s="1708"/>
      <c r="P68" s="122" t="s">
        <v>268</v>
      </c>
      <c r="Z68" s="137">
        <f t="shared" ref="Z68:Z99" si="2">SUM(AA68:AO68)</f>
        <v>0</v>
      </c>
      <c r="AA68" s="700"/>
      <c r="AE68" s="700"/>
      <c r="AI68" s="700"/>
    </row>
    <row r="69" spans="1:35" s="298" customFormat="1" ht="27.75" customHeight="1">
      <c r="A69" s="206"/>
      <c r="B69" s="1798" t="s">
        <v>438</v>
      </c>
      <c r="C69" s="1799"/>
      <c r="D69" s="736" t="s">
        <v>412</v>
      </c>
      <c r="E69" s="734" t="s">
        <v>412</v>
      </c>
      <c r="F69" s="1667">
        <f>F68</f>
        <v>1165022.3900000001</v>
      </c>
      <c r="G69" s="1800"/>
      <c r="H69" s="736" t="s">
        <v>412</v>
      </c>
      <c r="I69" s="734" t="s">
        <v>412</v>
      </c>
      <c r="J69" s="1667">
        <f>J68</f>
        <v>1256429</v>
      </c>
      <c r="K69" s="1800"/>
      <c r="L69" s="718" t="s">
        <v>412</v>
      </c>
      <c r="M69" s="734" t="s">
        <v>412</v>
      </c>
      <c r="N69" s="1667">
        <f>N68</f>
        <v>1256429</v>
      </c>
      <c r="O69" s="1800"/>
      <c r="Z69" s="137">
        <f t="shared" si="2"/>
        <v>0</v>
      </c>
    </row>
    <row r="70" spans="1:35" s="119" customFormat="1" ht="12" customHeight="1">
      <c r="A70" s="305"/>
      <c r="B70" s="305"/>
      <c r="C70" s="145"/>
      <c r="D70" s="145"/>
      <c r="E70" s="145"/>
      <c r="F70" s="145"/>
      <c r="G70" s="145"/>
      <c r="H70" s="145"/>
      <c r="I70" s="145"/>
      <c r="J70" s="145"/>
      <c r="K70" s="145"/>
      <c r="L70" s="145"/>
      <c r="M70" s="145"/>
      <c r="N70" s="145"/>
      <c r="O70" s="145"/>
      <c r="P70" s="122"/>
      <c r="Z70" s="137">
        <f t="shared" si="2"/>
        <v>0</v>
      </c>
    </row>
    <row r="71" spans="1:35" s="144" customFormat="1" ht="12" hidden="1" customHeight="1">
      <c r="A71" s="305"/>
      <c r="B71" s="305"/>
      <c r="C71" s="145"/>
      <c r="D71" s="145"/>
      <c r="E71" s="145"/>
      <c r="F71" s="145"/>
      <c r="G71" s="145"/>
      <c r="H71" s="145"/>
      <c r="I71" s="145"/>
      <c r="J71" s="145"/>
      <c r="K71" s="145"/>
      <c r="L71" s="145"/>
      <c r="M71" s="145"/>
      <c r="N71" s="145"/>
      <c r="O71" s="145"/>
      <c r="P71" s="122"/>
      <c r="Z71" s="137">
        <f t="shared" si="2"/>
        <v>0</v>
      </c>
    </row>
    <row r="72" spans="1:35" s="144" customFormat="1" ht="12" hidden="1" customHeight="1">
      <c r="A72" s="132"/>
      <c r="B72" s="132"/>
      <c r="C72" s="119"/>
      <c r="D72" s="119"/>
      <c r="E72" s="119"/>
      <c r="F72" s="119"/>
      <c r="G72" s="119"/>
      <c r="H72" s="119"/>
      <c r="I72" s="119"/>
      <c r="J72" s="119"/>
      <c r="K72" s="119"/>
      <c r="L72" s="119"/>
      <c r="M72" s="119"/>
      <c r="N72" s="119"/>
      <c r="O72" s="119"/>
      <c r="P72" s="122"/>
      <c r="Z72" s="137">
        <f t="shared" si="2"/>
        <v>0</v>
      </c>
    </row>
    <row r="73" spans="1:35" s="121" customFormat="1" ht="36" customHeight="1">
      <c r="A73" s="1801" t="s">
        <v>535</v>
      </c>
      <c r="B73" s="1801"/>
      <c r="C73" s="1801"/>
      <c r="D73" s="1801"/>
      <c r="E73" s="1801"/>
      <c r="F73" s="1801"/>
      <c r="G73" s="1801"/>
      <c r="H73" s="1801"/>
      <c r="I73" s="1801"/>
      <c r="J73" s="1801"/>
      <c r="K73" s="1801"/>
      <c r="L73" s="1801"/>
      <c r="M73" s="1801"/>
      <c r="N73" s="1801"/>
      <c r="O73" s="1801"/>
      <c r="P73" s="132"/>
      <c r="Z73" s="137">
        <f t="shared" si="2"/>
        <v>0</v>
      </c>
    </row>
    <row r="74" spans="1:35" s="144" customFormat="1" ht="12" customHeight="1">
      <c r="A74" s="305"/>
      <c r="B74" s="305"/>
      <c r="C74" s="131"/>
      <c r="D74" s="131"/>
      <c r="E74" s="131"/>
      <c r="F74" s="131"/>
      <c r="G74" s="131"/>
      <c r="H74" s="131"/>
      <c r="I74" s="131"/>
      <c r="J74" s="131"/>
      <c r="K74" s="131"/>
      <c r="L74" s="131"/>
      <c r="M74" s="131"/>
      <c r="N74" s="131"/>
      <c r="O74" s="131"/>
      <c r="P74" s="122"/>
      <c r="Z74" s="137">
        <f t="shared" si="2"/>
        <v>0</v>
      </c>
    </row>
    <row r="75" spans="1:35" s="144" customFormat="1" ht="34.5" customHeight="1">
      <c r="A75" s="1687" t="s">
        <v>430</v>
      </c>
      <c r="B75" s="1812" t="s">
        <v>493</v>
      </c>
      <c r="C75" s="1813"/>
      <c r="D75" s="1781" t="s">
        <v>1114</v>
      </c>
      <c r="E75" s="1782"/>
      <c r="F75" s="1782"/>
      <c r="G75" s="1783"/>
      <c r="H75" s="1784" t="s">
        <v>1115</v>
      </c>
      <c r="I75" s="1785"/>
      <c r="J75" s="1785"/>
      <c r="K75" s="1786"/>
      <c r="L75" s="1787" t="s">
        <v>1116</v>
      </c>
      <c r="M75" s="1785"/>
      <c r="N75" s="1785"/>
      <c r="O75" s="1786"/>
      <c r="P75" s="122"/>
      <c r="Z75" s="137">
        <f t="shared" si="2"/>
        <v>0</v>
      </c>
      <c r="AA75" s="137">
        <f>SUM(F78)-SUBTOTAL(109,F78)</f>
        <v>0</v>
      </c>
      <c r="AB75" s="137">
        <f>SUM(J78)-SUBTOTAL(109,J78)</f>
        <v>0</v>
      </c>
      <c r="AC75" s="137">
        <f>SUM(N78)-SUBTOTAL(109,N78)</f>
        <v>0</v>
      </c>
    </row>
    <row r="76" spans="1:35" s="144" customFormat="1" ht="52.5" customHeight="1">
      <c r="A76" s="1688"/>
      <c r="B76" s="1814"/>
      <c r="C76" s="1815"/>
      <c r="D76" s="169" t="s">
        <v>524</v>
      </c>
      <c r="E76" s="171" t="s">
        <v>536</v>
      </c>
      <c r="F76" s="1838" t="s">
        <v>496</v>
      </c>
      <c r="G76" s="1839"/>
      <c r="H76" s="169" t="s">
        <v>524</v>
      </c>
      <c r="I76" s="171" t="s">
        <v>536</v>
      </c>
      <c r="J76" s="1838" t="s">
        <v>526</v>
      </c>
      <c r="K76" s="1839"/>
      <c r="L76" s="169" t="s">
        <v>524</v>
      </c>
      <c r="M76" s="171" t="s">
        <v>536</v>
      </c>
      <c r="N76" s="1838" t="s">
        <v>496</v>
      </c>
      <c r="O76" s="1839"/>
      <c r="P76" s="122"/>
      <c r="Z76" s="137">
        <f t="shared" si="2"/>
        <v>0</v>
      </c>
    </row>
    <row r="77" spans="1:35" s="119" customFormat="1">
      <c r="A77" s="187" t="s">
        <v>6</v>
      </c>
      <c r="B77" s="1760" t="s">
        <v>7</v>
      </c>
      <c r="C77" s="1807"/>
      <c r="D77" s="166" t="s">
        <v>8</v>
      </c>
      <c r="E77" s="167" t="s">
        <v>9</v>
      </c>
      <c r="F77" s="1802" t="s">
        <v>527</v>
      </c>
      <c r="G77" s="1803"/>
      <c r="H77" s="166" t="s">
        <v>417</v>
      </c>
      <c r="I77" s="167" t="s">
        <v>416</v>
      </c>
      <c r="J77" s="1804" t="s">
        <v>528</v>
      </c>
      <c r="K77" s="1805"/>
      <c r="L77" s="166" t="s">
        <v>414</v>
      </c>
      <c r="M77" s="167" t="s">
        <v>413</v>
      </c>
      <c r="N77" s="1804" t="s">
        <v>529</v>
      </c>
      <c r="O77" s="1805"/>
      <c r="P77" s="122"/>
      <c r="Z77" s="137">
        <f t="shared" si="2"/>
        <v>0</v>
      </c>
    </row>
    <row r="78" spans="1:35" s="144" customFormat="1" ht="27.75" customHeight="1">
      <c r="A78" s="236" t="s">
        <v>6</v>
      </c>
      <c r="B78" s="1810" t="s">
        <v>507</v>
      </c>
      <c r="C78" s="1811"/>
      <c r="D78" s="350">
        <f>ROUNDUP(F78/47760,0)</f>
        <v>4</v>
      </c>
      <c r="E78" s="1219">
        <f>IFERROR(ROUND(F78/D78,2),0)</f>
        <v>41544.22</v>
      </c>
      <c r="F78" s="1704">
        <f>SUMIFS(Титульный!$O$69:$O$292,Титульный!$R$69:$R$292,'112, 113'!P78)</f>
        <v>166176.85999999999</v>
      </c>
      <c r="G78" s="1708"/>
      <c r="H78" s="350">
        <f>ROUNDUP(J78/47760,0)</f>
        <v>4</v>
      </c>
      <c r="I78" s="1219">
        <f>IFERROR(ROUND(J78/H78,2),0)</f>
        <v>41544.22</v>
      </c>
      <c r="J78" s="1704">
        <f>SUMIFS(Титульный!$P$69:$P$292,Титульный!$R$69:$R$292,'112, 113'!P78)</f>
        <v>166176.85999999999</v>
      </c>
      <c r="K78" s="1708"/>
      <c r="L78" s="350">
        <f>ROUNDUP(N78/47760,0)</f>
        <v>4</v>
      </c>
      <c r="M78" s="1219">
        <f>IFERROR(ROUND(N78/L78,2),0)</f>
        <v>41544.22</v>
      </c>
      <c r="N78" s="1704">
        <f>SUMIFS(Титульный!$Q$69:$Q$292,Титульный!$R$69:$R$292,'112, 113'!P78)</f>
        <v>166176.85999999999</v>
      </c>
      <c r="O78" s="1708"/>
      <c r="P78" s="122" t="s">
        <v>267</v>
      </c>
      <c r="Z78" s="137">
        <f t="shared" si="2"/>
        <v>0</v>
      </c>
      <c r="AA78" s="700"/>
      <c r="AE78" s="700"/>
      <c r="AI78" s="700"/>
    </row>
    <row r="79" spans="1:35" s="298" customFormat="1" ht="27.75" customHeight="1">
      <c r="A79" s="206"/>
      <c r="B79" s="1798" t="s">
        <v>438</v>
      </c>
      <c r="C79" s="1799"/>
      <c r="D79" s="736" t="s">
        <v>412</v>
      </c>
      <c r="E79" s="734" t="s">
        <v>412</v>
      </c>
      <c r="F79" s="1667">
        <f>F78</f>
        <v>166176.85999999999</v>
      </c>
      <c r="G79" s="1800"/>
      <c r="H79" s="736" t="s">
        <v>412</v>
      </c>
      <c r="I79" s="734" t="s">
        <v>412</v>
      </c>
      <c r="J79" s="1667">
        <f>J78</f>
        <v>166176.85999999999</v>
      </c>
      <c r="K79" s="1800"/>
      <c r="L79" s="718" t="s">
        <v>412</v>
      </c>
      <c r="M79" s="734" t="s">
        <v>412</v>
      </c>
      <c r="N79" s="1667">
        <f>N78</f>
        <v>166176.85999999999</v>
      </c>
      <c r="O79" s="1800"/>
      <c r="Z79" s="137">
        <f t="shared" si="2"/>
        <v>0</v>
      </c>
    </row>
    <row r="80" spans="1:35" s="119" customFormat="1" ht="12.6" customHeight="1">
      <c r="A80" s="132"/>
      <c r="B80" s="132"/>
      <c r="P80" s="122"/>
      <c r="Z80" s="137">
        <f t="shared" si="2"/>
        <v>0</v>
      </c>
    </row>
    <row r="81" spans="1:35" s="144" customFormat="1" ht="12" hidden="1" customHeight="1">
      <c r="A81" s="132"/>
      <c r="B81" s="132"/>
      <c r="P81" s="122"/>
      <c r="Z81" s="137">
        <f t="shared" si="2"/>
        <v>0</v>
      </c>
    </row>
    <row r="82" spans="1:35" s="144" customFormat="1" hidden="1">
      <c r="A82" s="132"/>
      <c r="B82" s="132"/>
      <c r="P82" s="122"/>
      <c r="Z82" s="137">
        <f t="shared" si="2"/>
        <v>0</v>
      </c>
    </row>
    <row r="83" spans="1:35" s="121" customFormat="1" ht="36" customHeight="1">
      <c r="A83" s="1801" t="s">
        <v>537</v>
      </c>
      <c r="B83" s="1801"/>
      <c r="C83" s="1801"/>
      <c r="D83" s="1801"/>
      <c r="E83" s="1801"/>
      <c r="F83" s="1801"/>
      <c r="G83" s="1801"/>
      <c r="H83" s="1801"/>
      <c r="I83" s="1801"/>
      <c r="J83" s="1801"/>
      <c r="K83" s="1801"/>
      <c r="L83" s="1801"/>
      <c r="M83" s="1801"/>
      <c r="N83" s="1801"/>
      <c r="O83" s="1801"/>
      <c r="P83" s="132"/>
      <c r="Z83" s="137">
        <f t="shared" si="2"/>
        <v>0</v>
      </c>
    </row>
    <row r="84" spans="1:35" s="144" customFormat="1" ht="12" customHeight="1">
      <c r="A84" s="305"/>
      <c r="B84" s="305"/>
      <c r="C84" s="131"/>
      <c r="D84" s="131"/>
      <c r="E84" s="131"/>
      <c r="F84" s="131"/>
      <c r="G84" s="131"/>
      <c r="H84" s="131"/>
      <c r="I84" s="131"/>
      <c r="J84" s="131"/>
      <c r="K84" s="131"/>
      <c r="L84" s="131"/>
      <c r="M84" s="131"/>
      <c r="N84" s="131"/>
      <c r="O84" s="131"/>
      <c r="P84" s="122"/>
      <c r="Z84" s="137">
        <f t="shared" si="2"/>
        <v>0</v>
      </c>
    </row>
    <row r="85" spans="1:35" s="144" customFormat="1" ht="34.5" customHeight="1">
      <c r="A85" s="1687" t="s">
        <v>430</v>
      </c>
      <c r="B85" s="1812" t="s">
        <v>493</v>
      </c>
      <c r="C85" s="1813"/>
      <c r="D85" s="1781" t="s">
        <v>1114</v>
      </c>
      <c r="E85" s="1782"/>
      <c r="F85" s="1782"/>
      <c r="G85" s="1783"/>
      <c r="H85" s="1784" t="s">
        <v>1115</v>
      </c>
      <c r="I85" s="1785"/>
      <c r="J85" s="1785"/>
      <c r="K85" s="1786"/>
      <c r="L85" s="1787" t="s">
        <v>1116</v>
      </c>
      <c r="M85" s="1785"/>
      <c r="N85" s="1785"/>
      <c r="O85" s="1786"/>
      <c r="P85" s="122"/>
      <c r="Z85" s="137">
        <f t="shared" si="2"/>
        <v>0</v>
      </c>
      <c r="AA85" s="137">
        <f>SUM(F88:G89)-SUBTOTAL(109,F88:G89)</f>
        <v>0</v>
      </c>
      <c r="AB85" s="137">
        <f>SUM(J88:K89)-SUBTOTAL(109,J88:K89)</f>
        <v>0</v>
      </c>
      <c r="AC85" s="137">
        <f>SUM(N88:O89)-SUBTOTAL(109,N88:O89)</f>
        <v>0</v>
      </c>
    </row>
    <row r="86" spans="1:35" s="144" customFormat="1" ht="52.5" customHeight="1">
      <c r="A86" s="1688"/>
      <c r="B86" s="1814"/>
      <c r="C86" s="1815"/>
      <c r="D86" s="169" t="s">
        <v>524</v>
      </c>
      <c r="E86" s="171" t="s">
        <v>536</v>
      </c>
      <c r="F86" s="1838" t="s">
        <v>496</v>
      </c>
      <c r="G86" s="1839"/>
      <c r="H86" s="169" t="s">
        <v>524</v>
      </c>
      <c r="I86" s="171" t="s">
        <v>536</v>
      </c>
      <c r="J86" s="1838" t="s">
        <v>526</v>
      </c>
      <c r="K86" s="1839"/>
      <c r="L86" s="169" t="s">
        <v>524</v>
      </c>
      <c r="M86" s="171" t="s">
        <v>536</v>
      </c>
      <c r="N86" s="1838" t="s">
        <v>496</v>
      </c>
      <c r="O86" s="1839"/>
      <c r="P86" s="122"/>
      <c r="Z86" s="137">
        <f t="shared" si="2"/>
        <v>0</v>
      </c>
    </row>
    <row r="87" spans="1:35" s="119" customFormat="1">
      <c r="A87" s="187" t="s">
        <v>6</v>
      </c>
      <c r="B87" s="1760" t="s">
        <v>7</v>
      </c>
      <c r="C87" s="1807"/>
      <c r="D87" s="166" t="s">
        <v>8</v>
      </c>
      <c r="E87" s="167" t="s">
        <v>9</v>
      </c>
      <c r="F87" s="1802" t="s">
        <v>527</v>
      </c>
      <c r="G87" s="1803"/>
      <c r="H87" s="166" t="s">
        <v>417</v>
      </c>
      <c r="I87" s="167" t="s">
        <v>416</v>
      </c>
      <c r="J87" s="1804" t="s">
        <v>528</v>
      </c>
      <c r="K87" s="1805"/>
      <c r="L87" s="166" t="s">
        <v>414</v>
      </c>
      <c r="M87" s="167" t="s">
        <v>413</v>
      </c>
      <c r="N87" s="1804" t="s">
        <v>529</v>
      </c>
      <c r="O87" s="1805"/>
      <c r="P87" s="122"/>
      <c r="Z87" s="137">
        <f t="shared" si="2"/>
        <v>0</v>
      </c>
    </row>
    <row r="88" spans="1:35" s="144" customFormat="1" ht="27.75" customHeight="1">
      <c r="A88" s="236" t="s">
        <v>6</v>
      </c>
      <c r="B88" s="1810" t="s">
        <v>1094</v>
      </c>
      <c r="C88" s="1811"/>
      <c r="D88" s="350">
        <f>IFERROR(F88/E88,0)</f>
        <v>1</v>
      </c>
      <c r="E88" s="1219">
        <f>25000*12</f>
        <v>300000</v>
      </c>
      <c r="F88" s="1704">
        <f>SUMIFS(Титульный!$O$69:$O$292,Титульный!$R$69:$R$292,'112, 113'!P88)</f>
        <v>300000</v>
      </c>
      <c r="G88" s="1708"/>
      <c r="H88" s="350">
        <f>IFERROR(J88/I88,0)</f>
        <v>1</v>
      </c>
      <c r="I88" s="1219">
        <f>25000*12</f>
        <v>300000</v>
      </c>
      <c r="J88" s="1704">
        <f>SUMIFS(Титульный!$P$69:$P$292,Титульный!$R$69:$R$292,'112, 113'!P88)</f>
        <v>300000</v>
      </c>
      <c r="K88" s="1708"/>
      <c r="L88" s="1220">
        <f>IFERROR(N88/M88,0)</f>
        <v>1</v>
      </c>
      <c r="M88" s="1219">
        <f>25000*12</f>
        <v>300000</v>
      </c>
      <c r="N88" s="1704">
        <f>SUMIFS(Титульный!$Q$69:$Q$292,Титульный!$R$69:$R$292,'112, 113'!P88)</f>
        <v>300000</v>
      </c>
      <c r="O88" s="1708"/>
      <c r="P88" s="122" t="s">
        <v>1093</v>
      </c>
      <c r="Z88" s="137">
        <f t="shared" si="2"/>
        <v>0</v>
      </c>
    </row>
    <row r="89" spans="1:35" s="144" customFormat="1" ht="27.75" hidden="1" customHeight="1">
      <c r="A89" s="297">
        <v>2</v>
      </c>
      <c r="B89" s="1796"/>
      <c r="C89" s="1797"/>
      <c r="D89" s="387"/>
      <c r="E89" s="741"/>
      <c r="F89" s="1792"/>
      <c r="G89" s="1793"/>
      <c r="H89" s="387"/>
      <c r="I89" s="741"/>
      <c r="J89" s="1792"/>
      <c r="K89" s="1793"/>
      <c r="L89" s="843"/>
      <c r="M89" s="741"/>
      <c r="N89" s="1792"/>
      <c r="O89" s="1793"/>
      <c r="P89" s="122"/>
      <c r="Z89" s="137">
        <f t="shared" si="2"/>
        <v>0</v>
      </c>
      <c r="AA89" s="700"/>
      <c r="AE89" s="700"/>
      <c r="AI89" s="700"/>
    </row>
    <row r="90" spans="1:35" s="298" customFormat="1" ht="27.75" customHeight="1">
      <c r="A90" s="206"/>
      <c r="B90" s="1798" t="s">
        <v>438</v>
      </c>
      <c r="C90" s="1799"/>
      <c r="D90" s="736" t="s">
        <v>412</v>
      </c>
      <c r="E90" s="734" t="s">
        <v>412</v>
      </c>
      <c r="F90" s="1667">
        <f>F88</f>
        <v>300000</v>
      </c>
      <c r="G90" s="1800"/>
      <c r="H90" s="736" t="s">
        <v>412</v>
      </c>
      <c r="I90" s="734" t="s">
        <v>412</v>
      </c>
      <c r="J90" s="1667">
        <f>J88</f>
        <v>300000</v>
      </c>
      <c r="K90" s="1800"/>
      <c r="L90" s="718" t="s">
        <v>412</v>
      </c>
      <c r="M90" s="734" t="s">
        <v>412</v>
      </c>
      <c r="N90" s="1667">
        <f>N88</f>
        <v>300000</v>
      </c>
      <c r="O90" s="1800"/>
      <c r="Z90" s="137">
        <f t="shared" si="2"/>
        <v>0</v>
      </c>
    </row>
    <row r="91" spans="1:35" s="119" customFormat="1" ht="9" customHeight="1">
      <c r="A91" s="132"/>
      <c r="B91" s="132"/>
      <c r="P91" s="122"/>
      <c r="Z91" s="137">
        <f t="shared" si="2"/>
        <v>0</v>
      </c>
    </row>
    <row r="92" spans="1:35" s="144" customFormat="1" ht="12" hidden="1" customHeight="1">
      <c r="A92" s="132"/>
      <c r="B92" s="132"/>
      <c r="P92" s="122"/>
      <c r="Z92" s="137">
        <f t="shared" si="2"/>
        <v>0</v>
      </c>
    </row>
    <row r="93" spans="1:35" s="144" customFormat="1" hidden="1">
      <c r="A93" s="132"/>
      <c r="B93" s="132"/>
      <c r="P93" s="122"/>
      <c r="Z93" s="137">
        <f t="shared" si="2"/>
        <v>0</v>
      </c>
    </row>
    <row r="94" spans="1:35" s="121" customFormat="1" ht="36.75" customHeight="1">
      <c r="A94" s="1773" t="s">
        <v>538</v>
      </c>
      <c r="B94" s="1773"/>
      <c r="C94" s="1773"/>
      <c r="D94" s="1773"/>
      <c r="E94" s="1773"/>
      <c r="F94" s="1773"/>
      <c r="G94" s="1773"/>
      <c r="H94" s="1773"/>
      <c r="I94" s="1773"/>
      <c r="J94" s="1773"/>
      <c r="K94" s="1773"/>
      <c r="L94" s="1773"/>
      <c r="M94" s="1773"/>
      <c r="N94" s="1773"/>
      <c r="O94" s="1773"/>
      <c r="P94" s="132"/>
      <c r="Z94" s="137">
        <f t="shared" si="2"/>
        <v>0</v>
      </c>
    </row>
    <row r="95" spans="1:35" s="144" customFormat="1" ht="12" customHeight="1">
      <c r="A95" s="132"/>
      <c r="B95" s="132"/>
      <c r="C95" s="119"/>
      <c r="D95" s="119"/>
      <c r="E95" s="119"/>
      <c r="F95" s="119"/>
      <c r="G95" s="119"/>
      <c r="H95" s="119"/>
      <c r="I95" s="119"/>
      <c r="J95" s="119"/>
      <c r="K95" s="119"/>
      <c r="L95" s="119"/>
      <c r="M95" s="119"/>
      <c r="N95" s="119"/>
      <c r="O95" s="119"/>
      <c r="P95" s="122"/>
      <c r="Z95" s="137">
        <f t="shared" si="2"/>
        <v>0</v>
      </c>
    </row>
    <row r="96" spans="1:35" s="144" customFormat="1" ht="34.5" customHeight="1">
      <c r="A96" s="1806" t="s">
        <v>479</v>
      </c>
      <c r="B96" s="1687" t="s">
        <v>430</v>
      </c>
      <c r="C96" s="1754" t="s">
        <v>493</v>
      </c>
      <c r="D96" s="1781" t="s">
        <v>1114</v>
      </c>
      <c r="E96" s="1782"/>
      <c r="F96" s="1782"/>
      <c r="G96" s="1783"/>
      <c r="H96" s="1784" t="s">
        <v>1115</v>
      </c>
      <c r="I96" s="1785"/>
      <c r="J96" s="1785"/>
      <c r="K96" s="1786"/>
      <c r="L96" s="1787" t="s">
        <v>1116</v>
      </c>
      <c r="M96" s="1785"/>
      <c r="N96" s="1785"/>
      <c r="O96" s="1786"/>
      <c r="P96" s="122"/>
      <c r="Z96" s="137">
        <f t="shared" si="2"/>
        <v>0</v>
      </c>
      <c r="AA96" s="137">
        <f>SUM(F99:G100)-SUBTOTAL(109,F99:G100)</f>
        <v>0</v>
      </c>
      <c r="AB96" s="137">
        <f>SUM(J99:K100)-SUBTOTAL(109,J99:K100)</f>
        <v>0</v>
      </c>
      <c r="AC96" s="137">
        <f>SUM(N99:O100)-SUBTOTAL(109,N99:O100)</f>
        <v>0</v>
      </c>
    </row>
    <row r="97" spans="1:35" s="144" customFormat="1" ht="52.5" customHeight="1">
      <c r="A97" s="1806"/>
      <c r="B97" s="1688"/>
      <c r="C97" s="1756"/>
      <c r="D97" s="169" t="s">
        <v>524</v>
      </c>
      <c r="E97" s="370" t="s">
        <v>536</v>
      </c>
      <c r="F97" s="1788" t="s">
        <v>496</v>
      </c>
      <c r="G97" s="1741"/>
      <c r="H97" s="169" t="s">
        <v>524</v>
      </c>
      <c r="I97" s="370" t="s">
        <v>536</v>
      </c>
      <c r="J97" s="1788" t="s">
        <v>526</v>
      </c>
      <c r="K97" s="1741"/>
      <c r="L97" s="169" t="s">
        <v>524</v>
      </c>
      <c r="M97" s="370" t="s">
        <v>536</v>
      </c>
      <c r="N97" s="1788" t="s">
        <v>496</v>
      </c>
      <c r="O97" s="1741"/>
      <c r="P97" s="122"/>
      <c r="Z97" s="137">
        <f t="shared" si="2"/>
        <v>0</v>
      </c>
    </row>
    <row r="98" spans="1:35">
      <c r="A98" s="364" t="s">
        <v>6</v>
      </c>
      <c r="B98" s="187">
        <v>2</v>
      </c>
      <c r="C98" s="381">
        <v>6</v>
      </c>
      <c r="D98" s="166">
        <v>4</v>
      </c>
      <c r="E98" s="369">
        <v>5</v>
      </c>
      <c r="F98" s="1789" t="s">
        <v>497</v>
      </c>
      <c r="G98" s="1790"/>
      <c r="H98" s="166">
        <v>7</v>
      </c>
      <c r="I98" s="369">
        <v>8</v>
      </c>
      <c r="J98" s="1794" t="s">
        <v>498</v>
      </c>
      <c r="K98" s="1795"/>
      <c r="L98" s="166">
        <v>10</v>
      </c>
      <c r="M98" s="369">
        <v>11</v>
      </c>
      <c r="N98" s="1794" t="s">
        <v>499</v>
      </c>
      <c r="O98" s="1795"/>
      <c r="Z98" s="137">
        <f t="shared" si="2"/>
        <v>0</v>
      </c>
    </row>
    <row r="99" spans="1:35" ht="27.75" customHeight="1">
      <c r="A99" s="385">
        <v>113</v>
      </c>
      <c r="B99" s="236" t="s">
        <v>6</v>
      </c>
      <c r="C99" s="382" t="s">
        <v>739</v>
      </c>
      <c r="D99" s="350">
        <f>F99/E99</f>
        <v>0</v>
      </c>
      <c r="E99" s="717">
        <v>200</v>
      </c>
      <c r="F99" s="1791">
        <f>SUMIFS(Титульный!$O$69:$O$292,Титульный!$L$69:$L$292,P99)</f>
        <v>0</v>
      </c>
      <c r="G99" s="1674"/>
      <c r="H99" s="350">
        <f>J99/I99</f>
        <v>0</v>
      </c>
      <c r="I99" s="717">
        <v>200</v>
      </c>
      <c r="J99" s="1791">
        <f>SUMIFS(Титульный!$P$69:$P$292,Титульный!$L$69:$L$292,P99)</f>
        <v>0</v>
      </c>
      <c r="K99" s="1674"/>
      <c r="L99" s="720">
        <f>N99/M99</f>
        <v>0</v>
      </c>
      <c r="M99" s="717">
        <v>200</v>
      </c>
      <c r="N99" s="1791">
        <f>SUMIFS(Титульный!$Q$69:$Q$292,Титульный!$L$69:$L$292,P99)</f>
        <v>0</v>
      </c>
      <c r="O99" s="1674"/>
      <c r="P99" s="880">
        <v>113</v>
      </c>
      <c r="Z99" s="137">
        <f t="shared" si="2"/>
        <v>0</v>
      </c>
    </row>
    <row r="100" spans="1:35" ht="27.75" customHeight="1">
      <c r="A100" s="386" t="s">
        <v>65</v>
      </c>
      <c r="B100" s="297">
        <v>2</v>
      </c>
      <c r="C100" s="383"/>
      <c r="D100" s="387"/>
      <c r="E100" s="741"/>
      <c r="F100" s="1792"/>
      <c r="G100" s="1793"/>
      <c r="H100" s="387"/>
      <c r="I100" s="741"/>
      <c r="J100" s="1792"/>
      <c r="K100" s="1793"/>
      <c r="L100" s="843"/>
      <c r="M100" s="741"/>
      <c r="N100" s="1792"/>
      <c r="O100" s="1793"/>
      <c r="Z100" s="137">
        <f t="shared" ref="Z100:Z101" si="3">SUM(AA100:AO100)</f>
        <v>0</v>
      </c>
      <c r="AA100" s="700"/>
      <c r="AE100" s="700"/>
      <c r="AI100" s="700"/>
    </row>
    <row r="101" spans="1:35" ht="27.75" customHeight="1">
      <c r="A101" s="365"/>
      <c r="B101" s="206"/>
      <c r="C101" s="384" t="s">
        <v>438</v>
      </c>
      <c r="D101" s="736" t="s">
        <v>412</v>
      </c>
      <c r="E101" s="734" t="s">
        <v>412</v>
      </c>
      <c r="F101" s="1706">
        <f>F99</f>
        <v>0</v>
      </c>
      <c r="G101" s="1721"/>
      <c r="H101" s="736" t="s">
        <v>412</v>
      </c>
      <c r="I101" s="734" t="s">
        <v>412</v>
      </c>
      <c r="J101" s="1706">
        <f>J99</f>
        <v>0</v>
      </c>
      <c r="K101" s="1721"/>
      <c r="L101" s="718" t="s">
        <v>412</v>
      </c>
      <c r="M101" s="734" t="s">
        <v>412</v>
      </c>
      <c r="N101" s="1706">
        <f>N99</f>
        <v>0</v>
      </c>
      <c r="O101" s="1721"/>
      <c r="Z101" s="137">
        <f t="shared" si="3"/>
        <v>0</v>
      </c>
    </row>
  </sheetData>
  <mergeCells count="181">
    <mergeCell ref="A1:O1"/>
    <mergeCell ref="A17:O17"/>
    <mergeCell ref="A30:O30"/>
    <mergeCell ref="A42:O42"/>
    <mergeCell ref="A53:O53"/>
    <mergeCell ref="F87:G87"/>
    <mergeCell ref="J87:K87"/>
    <mergeCell ref="N87:O87"/>
    <mergeCell ref="D85:G85"/>
    <mergeCell ref="H85:K85"/>
    <mergeCell ref="L85:O85"/>
    <mergeCell ref="F86:G86"/>
    <mergeCell ref="J86:K86"/>
    <mergeCell ref="N86:O86"/>
    <mergeCell ref="N79:O79"/>
    <mergeCell ref="L75:O75"/>
    <mergeCell ref="F76:G76"/>
    <mergeCell ref="J76:K76"/>
    <mergeCell ref="N76:O76"/>
    <mergeCell ref="B77:C77"/>
    <mergeCell ref="B78:C78"/>
    <mergeCell ref="H44:K44"/>
    <mergeCell ref="A3:A4"/>
    <mergeCell ref="L4:O4"/>
    <mergeCell ref="B96:B97"/>
    <mergeCell ref="A85:A86"/>
    <mergeCell ref="B85:C86"/>
    <mergeCell ref="B87:C87"/>
    <mergeCell ref="B88:C88"/>
    <mergeCell ref="H4:K4"/>
    <mergeCell ref="B3:B4"/>
    <mergeCell ref="C3:C4"/>
    <mergeCell ref="A19:A20"/>
    <mergeCell ref="B19:C20"/>
    <mergeCell ref="D19:G19"/>
    <mergeCell ref="D4:G4"/>
    <mergeCell ref="D6:G6"/>
    <mergeCell ref="D7:G7"/>
    <mergeCell ref="D8:G8"/>
    <mergeCell ref="D9:G9"/>
    <mergeCell ref="D10:G10"/>
    <mergeCell ref="D11:G11"/>
    <mergeCell ref="D12:G12"/>
    <mergeCell ref="D13:G13"/>
    <mergeCell ref="H6:K6"/>
    <mergeCell ref="H7:K7"/>
    <mergeCell ref="D3:O3"/>
    <mergeCell ref="L19:O19"/>
    <mergeCell ref="D5:G5"/>
    <mergeCell ref="H5:K5"/>
    <mergeCell ref="L5:O5"/>
    <mergeCell ref="D75:G75"/>
    <mergeCell ref="H75:K75"/>
    <mergeCell ref="A73:O73"/>
    <mergeCell ref="A65:A66"/>
    <mergeCell ref="B65:C66"/>
    <mergeCell ref="D65:G65"/>
    <mergeCell ref="H65:K65"/>
    <mergeCell ref="L65:O65"/>
    <mergeCell ref="F66:G66"/>
    <mergeCell ref="J66:K66"/>
    <mergeCell ref="N66:O66"/>
    <mergeCell ref="J47:K47"/>
    <mergeCell ref="J48:K48"/>
    <mergeCell ref="B37:C37"/>
    <mergeCell ref="L7:O7"/>
    <mergeCell ref="L8:O8"/>
    <mergeCell ref="L9:O9"/>
    <mergeCell ref="L6:O6"/>
    <mergeCell ref="A32:A33"/>
    <mergeCell ref="B32:C33"/>
    <mergeCell ref="D32:G32"/>
    <mergeCell ref="B23:C23"/>
    <mergeCell ref="B24:C24"/>
    <mergeCell ref="B25:C25"/>
    <mergeCell ref="B34:C34"/>
    <mergeCell ref="B21:C21"/>
    <mergeCell ref="B22:C22"/>
    <mergeCell ref="B26:C26"/>
    <mergeCell ref="H8:K8"/>
    <mergeCell ref="H9:K9"/>
    <mergeCell ref="H10:K10"/>
    <mergeCell ref="L10:O10"/>
    <mergeCell ref="L11:O11"/>
    <mergeCell ref="L12:O12"/>
    <mergeCell ref="L13:O13"/>
    <mergeCell ref="H11:K11"/>
    <mergeCell ref="H12:K12"/>
    <mergeCell ref="H13:K13"/>
    <mergeCell ref="L32:O32"/>
    <mergeCell ref="H19:K19"/>
    <mergeCell ref="H32:K32"/>
    <mergeCell ref="B35:C35"/>
    <mergeCell ref="B36:C36"/>
    <mergeCell ref="B38:C38"/>
    <mergeCell ref="A44:A45"/>
    <mergeCell ref="B44:C45"/>
    <mergeCell ref="L55:O55"/>
    <mergeCell ref="B46:C46"/>
    <mergeCell ref="B47:C47"/>
    <mergeCell ref="B48:C48"/>
    <mergeCell ref="A55:A56"/>
    <mergeCell ref="B49:C49"/>
    <mergeCell ref="F49:G49"/>
    <mergeCell ref="J49:K49"/>
    <mergeCell ref="N49:O49"/>
    <mergeCell ref="D44:G44"/>
    <mergeCell ref="F45:G45"/>
    <mergeCell ref="F46:G46"/>
    <mergeCell ref="F47:G47"/>
    <mergeCell ref="F48:G48"/>
    <mergeCell ref="N45:O45"/>
    <mergeCell ref="N46:O46"/>
    <mergeCell ref="N47:O47"/>
    <mergeCell ref="N48:O48"/>
    <mergeCell ref="L44:O44"/>
    <mergeCell ref="J45:K45"/>
    <mergeCell ref="J46:K46"/>
    <mergeCell ref="B55:C56"/>
    <mergeCell ref="D55:G55"/>
    <mergeCell ref="H55:K55"/>
    <mergeCell ref="B57:C57"/>
    <mergeCell ref="B58:C58"/>
    <mergeCell ref="B59:C59"/>
    <mergeCell ref="A63:O63"/>
    <mergeCell ref="A96:A97"/>
    <mergeCell ref="F89:G89"/>
    <mergeCell ref="J89:K89"/>
    <mergeCell ref="N89:O89"/>
    <mergeCell ref="F90:G90"/>
    <mergeCell ref="J90:K90"/>
    <mergeCell ref="N90:O90"/>
    <mergeCell ref="A94:O94"/>
    <mergeCell ref="B67:C67"/>
    <mergeCell ref="F67:G67"/>
    <mergeCell ref="J67:K67"/>
    <mergeCell ref="N67:O67"/>
    <mergeCell ref="B68:C68"/>
    <mergeCell ref="F68:G68"/>
    <mergeCell ref="J68:K68"/>
    <mergeCell ref="N68:O68"/>
    <mergeCell ref="A75:A76"/>
    <mergeCell ref="B75:C76"/>
    <mergeCell ref="F69:G69"/>
    <mergeCell ref="B69:C69"/>
    <mergeCell ref="N69:O69"/>
    <mergeCell ref="J69:K69"/>
    <mergeCell ref="F88:G88"/>
    <mergeCell ref="J88:K88"/>
    <mergeCell ref="B89:C89"/>
    <mergeCell ref="B90:C90"/>
    <mergeCell ref="F79:G79"/>
    <mergeCell ref="A83:O83"/>
    <mergeCell ref="F77:G77"/>
    <mergeCell ref="J77:K77"/>
    <mergeCell ref="N77:O77"/>
    <mergeCell ref="F78:G78"/>
    <mergeCell ref="J78:K78"/>
    <mergeCell ref="N78:O78"/>
    <mergeCell ref="N88:O88"/>
    <mergeCell ref="B79:C79"/>
    <mergeCell ref="J79:K79"/>
    <mergeCell ref="C96:C97"/>
    <mergeCell ref="D96:G96"/>
    <mergeCell ref="H96:K96"/>
    <mergeCell ref="L96:O96"/>
    <mergeCell ref="F97:G97"/>
    <mergeCell ref="F98:G98"/>
    <mergeCell ref="F99:G99"/>
    <mergeCell ref="F100:G100"/>
    <mergeCell ref="F101:G101"/>
    <mergeCell ref="J97:K97"/>
    <mergeCell ref="J98:K98"/>
    <mergeCell ref="J99:K99"/>
    <mergeCell ref="J101:K101"/>
    <mergeCell ref="J100:K100"/>
    <mergeCell ref="N97:O97"/>
    <mergeCell ref="N98:O98"/>
    <mergeCell ref="N99:O99"/>
    <mergeCell ref="N101:O101"/>
    <mergeCell ref="N100:O100"/>
  </mergeCells>
  <conditionalFormatting sqref="D35 H35 L35 L22:L23 H22:H23 D22:D23">
    <cfRule type="containsBlanks" dxfId="51" priority="3">
      <formula>LEN(TRIM(D22))=0</formula>
    </cfRule>
  </conditionalFormatting>
  <conditionalFormatting sqref="D6:O13 D22:O26 D47:O49 D89:O90 D99:O101 D35:O38 D58:O59 D68:O69 D79:O79">
    <cfRule type="cellIs" dxfId="50" priority="580" operator="lessThan">
      <formula>0</formula>
    </cfRule>
  </conditionalFormatting>
  <conditionalFormatting sqref="D78:O78">
    <cfRule type="cellIs" dxfId="49" priority="536" operator="lessThan">
      <formula>0</formula>
    </cfRule>
  </conditionalFormatting>
  <conditionalFormatting sqref="D88:O88">
    <cfRule type="cellIs" dxfId="48" priority="5" operator="lessThan">
      <formula>0</formula>
    </cfRule>
  </conditionalFormatting>
  <pageMargins left="0.19685039370078741" right="0.19685039370078741" top="0.74803149606299213" bottom="0.19685039370078741" header="0.31496062992125984" footer="0.31496062992125984"/>
  <pageSetup paperSize="9" scale="65" fitToHeight="5" orientation="landscape" r:id="rId1"/>
  <rowBreaks count="3" manualBreakCount="3">
    <brk id="26" max="14" man="1"/>
    <brk id="49" max="14" man="1"/>
    <brk id="79" max="14" man="1"/>
  </rowBreaks>
  <extLst>
    <ext xmlns:x14="http://schemas.microsoft.com/office/spreadsheetml/2009/9/main" uri="{78C0D931-6437-407d-A8EE-F0AAD7539E65}">
      <x14:conditionalFormattings>
        <x14:conditionalFormatting xmlns:xm="http://schemas.microsoft.com/office/excel/2006/main">
          <x14:cfRule type="expression" priority="1" id="{ACB5F690-8CB9-4F22-882B-17A16ED6D853}">
            <xm:f>Титульный!$Z$1="скрыть"</xm:f>
            <x14:dxf>
              <fill>
                <patternFill>
                  <bgColor theme="0"/>
                </patternFill>
              </fill>
            </x14:dxf>
          </x14:cfRule>
          <xm:sqref>J33</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Лист9">
    <tabColor theme="8" tint="0.59999389629810485"/>
  </sheetPr>
  <dimension ref="A1:AG131"/>
  <sheetViews>
    <sheetView view="pageBreakPreview" topLeftCell="A38" zoomScale="70" zoomScaleNormal="70" zoomScaleSheetLayoutView="70" workbookViewId="0">
      <selection activeCell="A109" sqref="A109:XFD110"/>
    </sheetView>
  </sheetViews>
  <sheetFormatPr defaultRowHeight="18"/>
  <cols>
    <col min="1" max="1" width="11.28515625" customWidth="1"/>
    <col min="2" max="2" width="4.85546875" style="134" customWidth="1"/>
    <col min="3" max="3" width="53.85546875" customWidth="1"/>
    <col min="4" max="12" width="17.42578125" customWidth="1"/>
    <col min="13" max="13" width="9.140625" style="890"/>
    <col min="14" max="14" width="13.140625" style="890" bestFit="1" customWidth="1"/>
  </cols>
  <sheetData>
    <row r="1" spans="1:29" s="215" customFormat="1" ht="36" customHeight="1">
      <c r="A1" s="1773" t="s">
        <v>539</v>
      </c>
      <c r="B1" s="1773"/>
      <c r="C1" s="1773"/>
      <c r="D1" s="1773"/>
      <c r="E1" s="1773"/>
      <c r="F1" s="1773"/>
      <c r="G1" s="1773"/>
      <c r="H1" s="1773"/>
      <c r="I1" s="1773"/>
      <c r="J1" s="1773"/>
      <c r="K1" s="1773"/>
      <c r="L1" s="1773"/>
      <c r="M1" s="855"/>
      <c r="N1" s="855"/>
    </row>
    <row r="2" spans="1:29" s="215" customFormat="1" ht="36" customHeight="1">
      <c r="A2" s="1801" t="s">
        <v>540</v>
      </c>
      <c r="B2" s="1801"/>
      <c r="C2" s="1801"/>
      <c r="D2" s="1801"/>
      <c r="E2" s="1801"/>
      <c r="F2" s="1801"/>
      <c r="G2" s="1801"/>
      <c r="H2" s="1801"/>
      <c r="I2" s="1801"/>
      <c r="J2" s="1801"/>
      <c r="K2" s="1801"/>
      <c r="L2" s="1801"/>
      <c r="M2" s="855"/>
      <c r="N2" s="855"/>
    </row>
    <row r="3" spans="1:29" s="119" customFormat="1" ht="18.75">
      <c r="B3" s="132"/>
      <c r="M3" s="864"/>
      <c r="N3" s="864"/>
    </row>
    <row r="4" spans="1:29" s="119" customFormat="1" ht="34.5" customHeight="1">
      <c r="A4" s="1687" t="s">
        <v>541</v>
      </c>
      <c r="B4" s="1651" t="s">
        <v>430</v>
      </c>
      <c r="C4" s="1861" t="s">
        <v>493</v>
      </c>
      <c r="D4" s="1858" t="s">
        <v>1114</v>
      </c>
      <c r="E4" s="1859"/>
      <c r="F4" s="1860"/>
      <c r="G4" s="1856" t="s">
        <v>1121</v>
      </c>
      <c r="H4" s="1854"/>
      <c r="I4" s="1855"/>
      <c r="J4" s="1853" t="s">
        <v>1116</v>
      </c>
      <c r="K4" s="1854"/>
      <c r="L4" s="1855"/>
      <c r="M4" s="864"/>
      <c r="N4" s="864"/>
      <c r="Z4" s="137">
        <f t="shared" ref="Z4:Z35" si="0">SUM(AA4:AR4)</f>
        <v>0</v>
      </c>
      <c r="AA4" s="137">
        <f>SUM(F7:F17)-SUBTOTAL(109,F7:F17)</f>
        <v>0</v>
      </c>
      <c r="AB4" s="137">
        <f>SUM(I7:I17)-SUBTOTAL(109,I7:I17)</f>
        <v>0</v>
      </c>
      <c r="AC4" s="137">
        <f>SUM(L7:L17)-SUBTOTAL(109,L7:L17)</f>
        <v>0</v>
      </c>
    </row>
    <row r="5" spans="1:29" s="119" customFormat="1" ht="51" customHeight="1">
      <c r="A5" s="1688"/>
      <c r="B5" s="1684"/>
      <c r="C5" s="1862"/>
      <c r="D5" s="175" t="s">
        <v>691</v>
      </c>
      <c r="E5" s="173" t="s">
        <v>692</v>
      </c>
      <c r="F5" s="176" t="s">
        <v>693</v>
      </c>
      <c r="G5" s="175" t="s">
        <v>691</v>
      </c>
      <c r="H5" s="173" t="s">
        <v>692</v>
      </c>
      <c r="I5" s="176" t="s">
        <v>693</v>
      </c>
      <c r="J5" s="172" t="s">
        <v>691</v>
      </c>
      <c r="K5" s="173" t="s">
        <v>692</v>
      </c>
      <c r="L5" s="176" t="s">
        <v>693</v>
      </c>
      <c r="M5" s="864"/>
      <c r="N5" s="864"/>
      <c r="Z5" s="137">
        <f t="shared" si="0"/>
        <v>0</v>
      </c>
    </row>
    <row r="6" spans="1:29" s="144" customFormat="1" ht="18.75">
      <c r="A6" s="204" t="s">
        <v>6</v>
      </c>
      <c r="B6" s="205" t="s">
        <v>7</v>
      </c>
      <c r="C6" s="208" t="s">
        <v>8</v>
      </c>
      <c r="D6" s="204" t="s">
        <v>9</v>
      </c>
      <c r="E6" s="205" t="s">
        <v>10</v>
      </c>
      <c r="F6" s="209" t="s">
        <v>542</v>
      </c>
      <c r="G6" s="204" t="s">
        <v>416</v>
      </c>
      <c r="H6" s="205" t="s">
        <v>415</v>
      </c>
      <c r="I6" s="209" t="s">
        <v>543</v>
      </c>
      <c r="J6" s="207" t="s">
        <v>413</v>
      </c>
      <c r="K6" s="205" t="s">
        <v>418</v>
      </c>
      <c r="L6" s="209" t="s">
        <v>544</v>
      </c>
      <c r="M6" s="864"/>
      <c r="N6" s="864"/>
      <c r="Z6" s="137">
        <f t="shared" si="0"/>
        <v>0</v>
      </c>
    </row>
    <row r="7" spans="1:29" s="119" customFormat="1" ht="36" customHeight="1">
      <c r="A7" s="225" t="s">
        <v>68</v>
      </c>
      <c r="B7" s="254" t="s">
        <v>6</v>
      </c>
      <c r="C7" s="307" t="s">
        <v>694</v>
      </c>
      <c r="D7" s="724" t="s">
        <v>412</v>
      </c>
      <c r="E7" s="725" t="s">
        <v>412</v>
      </c>
      <c r="F7" s="735">
        <f>SUM(F8:F10)</f>
        <v>25524984.639999993</v>
      </c>
      <c r="G7" s="724" t="s">
        <v>412</v>
      </c>
      <c r="H7" s="725" t="s">
        <v>412</v>
      </c>
      <c r="I7" s="735">
        <f>SUM(I8:I10)</f>
        <v>25679310.399999999</v>
      </c>
      <c r="J7" s="743" t="s">
        <v>412</v>
      </c>
      <c r="K7" s="725" t="s">
        <v>412</v>
      </c>
      <c r="L7" s="735">
        <f>SUM(L8:L10)</f>
        <v>25679310.399999999</v>
      </c>
      <c r="M7" s="864"/>
      <c r="N7" s="864"/>
      <c r="Z7" s="137">
        <f t="shared" si="0"/>
        <v>0</v>
      </c>
    </row>
    <row r="8" spans="1:29" s="119" customFormat="1" ht="26.25" customHeight="1">
      <c r="A8" s="218" t="s">
        <v>68</v>
      </c>
      <c r="B8" s="216" t="s">
        <v>142</v>
      </c>
      <c r="C8" s="238" t="s">
        <v>695</v>
      </c>
      <c r="D8" s="723">
        <v>22</v>
      </c>
      <c r="E8" s="716">
        <f>Титульный!O69+Титульный!O139-Титульный!O140+Титульный!O261</f>
        <v>117297470.79000001</v>
      </c>
      <c r="F8" s="722">
        <f>F18-F11-F17</f>
        <v>25524984.639999993</v>
      </c>
      <c r="G8" s="723">
        <v>22</v>
      </c>
      <c r="H8" s="716">
        <f>Титульный!P69+Титульный!P139-Титульный!P140+Титульный!P261</f>
        <v>116794495</v>
      </c>
      <c r="I8" s="722">
        <f>I18-I11-I17</f>
        <v>25679310.399999999</v>
      </c>
      <c r="J8" s="721">
        <v>22</v>
      </c>
      <c r="K8" s="716">
        <f>Титульный!Q69+Титульный!Q139-Титульный!Q140+Титульный!Q261</f>
        <v>116794495</v>
      </c>
      <c r="L8" s="722">
        <f>L18-L11-L17</f>
        <v>25679310.399999999</v>
      </c>
      <c r="M8" s="864"/>
      <c r="N8" s="865"/>
      <c r="Z8" s="137">
        <f t="shared" si="0"/>
        <v>0</v>
      </c>
    </row>
    <row r="9" spans="1:29" s="119" customFormat="1" ht="26.25" customHeight="1">
      <c r="A9" s="218" t="s">
        <v>68</v>
      </c>
      <c r="B9" s="216" t="s">
        <v>144</v>
      </c>
      <c r="C9" s="238" t="s">
        <v>696</v>
      </c>
      <c r="D9" s="723">
        <v>10</v>
      </c>
      <c r="E9" s="716">
        <v>0</v>
      </c>
      <c r="F9" s="722">
        <f>ROUND(E9*D9/100,2)</f>
        <v>0</v>
      </c>
      <c r="G9" s="723">
        <v>10</v>
      </c>
      <c r="H9" s="716">
        <v>0</v>
      </c>
      <c r="I9" s="722">
        <f>ROUND(H9*G9/100,2)</f>
        <v>0</v>
      </c>
      <c r="J9" s="721">
        <v>10</v>
      </c>
      <c r="K9" s="716">
        <v>0</v>
      </c>
      <c r="L9" s="722">
        <f>ROUND(K9*J9/100,2)</f>
        <v>0</v>
      </c>
      <c r="M9" s="864"/>
      <c r="N9" s="864"/>
      <c r="Z9" s="137">
        <f t="shared" si="0"/>
        <v>0</v>
      </c>
    </row>
    <row r="10" spans="1:29" s="119" customFormat="1" ht="53.25" customHeight="1">
      <c r="A10" s="218" t="s">
        <v>68</v>
      </c>
      <c r="B10" s="216" t="s">
        <v>146</v>
      </c>
      <c r="C10" s="308" t="s">
        <v>545</v>
      </c>
      <c r="D10" s="723"/>
      <c r="E10" s="716"/>
      <c r="F10" s="722"/>
      <c r="G10" s="723"/>
      <c r="H10" s="716"/>
      <c r="I10" s="722"/>
      <c r="J10" s="721"/>
      <c r="K10" s="716"/>
      <c r="L10" s="722"/>
      <c r="M10" s="864"/>
      <c r="N10" s="864"/>
      <c r="Z10" s="137">
        <f t="shared" si="0"/>
        <v>0</v>
      </c>
    </row>
    <row r="11" spans="1:29" s="119" customFormat="1" ht="36" customHeight="1">
      <c r="A11" s="218" t="s">
        <v>68</v>
      </c>
      <c r="B11" s="216" t="s">
        <v>7</v>
      </c>
      <c r="C11" s="308" t="s">
        <v>697</v>
      </c>
      <c r="D11" s="723" t="s">
        <v>412</v>
      </c>
      <c r="E11" s="716" t="s">
        <v>412</v>
      </c>
      <c r="F11" s="722">
        <f>SUM(F12:F16)</f>
        <v>3636221.59</v>
      </c>
      <c r="G11" s="723" t="s">
        <v>412</v>
      </c>
      <c r="H11" s="716" t="s">
        <v>412</v>
      </c>
      <c r="I11" s="722">
        <f>SUM(I12:I16)</f>
        <v>3620629.3499999996</v>
      </c>
      <c r="J11" s="721" t="s">
        <v>412</v>
      </c>
      <c r="K11" s="716" t="s">
        <v>412</v>
      </c>
      <c r="L11" s="722">
        <f>SUM(L12:L16)</f>
        <v>3620629.3499999996</v>
      </c>
      <c r="M11" s="864"/>
      <c r="N11" s="865"/>
      <c r="Z11" s="137">
        <f t="shared" si="0"/>
        <v>0</v>
      </c>
    </row>
    <row r="12" spans="1:29" s="119" customFormat="1" ht="53.25" customHeight="1">
      <c r="A12" s="218" t="s">
        <v>68</v>
      </c>
      <c r="B12" s="216" t="s">
        <v>546</v>
      </c>
      <c r="C12" s="308" t="s">
        <v>698</v>
      </c>
      <c r="D12" s="723">
        <v>2.9</v>
      </c>
      <c r="E12" s="716">
        <f>E8</f>
        <v>117297470.79000001</v>
      </c>
      <c r="F12" s="722">
        <f>ROUND(E12*D12/100,2)</f>
        <v>3401626.65</v>
      </c>
      <c r="G12" s="723">
        <v>2.9</v>
      </c>
      <c r="H12" s="716">
        <f>H8</f>
        <v>116794495</v>
      </c>
      <c r="I12" s="722">
        <f>ROUND(H12*G12/100,2)</f>
        <v>3387040.36</v>
      </c>
      <c r="J12" s="721">
        <v>2.9</v>
      </c>
      <c r="K12" s="716">
        <f>K8</f>
        <v>116794495</v>
      </c>
      <c r="L12" s="722">
        <f>ROUND(K12*J12/100,2)</f>
        <v>3387040.36</v>
      </c>
      <c r="M12" s="864"/>
      <c r="N12" s="864"/>
      <c r="Z12" s="137">
        <f t="shared" si="0"/>
        <v>0</v>
      </c>
    </row>
    <row r="13" spans="1:29" s="119" customFormat="1" ht="36" customHeight="1">
      <c r="A13" s="218" t="s">
        <v>68</v>
      </c>
      <c r="B13" s="216" t="s">
        <v>547</v>
      </c>
      <c r="C13" s="308" t="s">
        <v>699</v>
      </c>
      <c r="D13" s="723">
        <v>0</v>
      </c>
      <c r="E13" s="716"/>
      <c r="F13" s="722"/>
      <c r="G13" s="723">
        <v>0</v>
      </c>
      <c r="H13" s="716"/>
      <c r="I13" s="722"/>
      <c r="J13" s="721">
        <v>0</v>
      </c>
      <c r="K13" s="716"/>
      <c r="L13" s="722"/>
      <c r="M13" s="864"/>
      <c r="N13" s="864"/>
      <c r="Z13" s="137">
        <f t="shared" si="0"/>
        <v>0</v>
      </c>
    </row>
    <row r="14" spans="1:29" s="119" customFormat="1" ht="53.25" customHeight="1">
      <c r="A14" s="218" t="s">
        <v>68</v>
      </c>
      <c r="B14" s="216" t="s">
        <v>548</v>
      </c>
      <c r="C14" s="308" t="s">
        <v>700</v>
      </c>
      <c r="D14" s="723">
        <v>0.2</v>
      </c>
      <c r="E14" s="716">
        <f>E8+E9</f>
        <v>117297470.79000001</v>
      </c>
      <c r="F14" s="722">
        <f>ROUND(E14*D14/100,2)</f>
        <v>234594.94</v>
      </c>
      <c r="G14" s="723">
        <v>0.2</v>
      </c>
      <c r="H14" s="716">
        <f>H17</f>
        <v>116794495</v>
      </c>
      <c r="I14" s="722">
        <f>ROUND(H14*G14/100,2)</f>
        <v>233588.99</v>
      </c>
      <c r="J14" s="721">
        <v>0.2</v>
      </c>
      <c r="K14" s="716">
        <f>K17</f>
        <v>116794495</v>
      </c>
      <c r="L14" s="722">
        <f>ROUND(K14*J14/100,2)</f>
        <v>233588.99</v>
      </c>
      <c r="M14" s="864"/>
      <c r="N14" s="864"/>
      <c r="Z14" s="137">
        <f t="shared" si="0"/>
        <v>0</v>
      </c>
    </row>
    <row r="15" spans="1:29" s="119" customFormat="1" ht="53.25" customHeight="1">
      <c r="A15" s="218" t="s">
        <v>68</v>
      </c>
      <c r="B15" s="216" t="s">
        <v>549</v>
      </c>
      <c r="C15" s="308" t="s">
        <v>701</v>
      </c>
      <c r="D15" s="723"/>
      <c r="E15" s="716"/>
      <c r="F15" s="722"/>
      <c r="G15" s="723"/>
      <c r="H15" s="716"/>
      <c r="I15" s="722"/>
      <c r="J15" s="721"/>
      <c r="K15" s="716"/>
      <c r="L15" s="722"/>
      <c r="M15" s="864"/>
      <c r="N15" s="864"/>
      <c r="Z15" s="137">
        <f t="shared" si="0"/>
        <v>0</v>
      </c>
    </row>
    <row r="16" spans="1:29" s="119" customFormat="1" ht="53.25" customHeight="1">
      <c r="A16" s="218" t="s">
        <v>68</v>
      </c>
      <c r="B16" s="216" t="s">
        <v>550</v>
      </c>
      <c r="C16" s="308" t="s">
        <v>701</v>
      </c>
      <c r="D16" s="723"/>
      <c r="E16" s="716"/>
      <c r="F16" s="722"/>
      <c r="G16" s="723"/>
      <c r="H16" s="716"/>
      <c r="I16" s="722"/>
      <c r="J16" s="721"/>
      <c r="K16" s="716"/>
      <c r="L16" s="722"/>
      <c r="M16" s="864"/>
      <c r="N16" s="864"/>
      <c r="Z16" s="137">
        <f t="shared" si="0"/>
        <v>0</v>
      </c>
    </row>
    <row r="17" spans="1:33" s="119" customFormat="1" ht="53.25" customHeight="1">
      <c r="A17" s="243" t="s">
        <v>68</v>
      </c>
      <c r="B17" s="252" t="s">
        <v>8</v>
      </c>
      <c r="C17" s="309" t="s">
        <v>702</v>
      </c>
      <c r="D17" s="726">
        <v>5.0999999999999996</v>
      </c>
      <c r="E17" s="727">
        <f>E8+E9</f>
        <v>117297470.79000001</v>
      </c>
      <c r="F17" s="728">
        <f>ROUND(E17*D17/100,2)</f>
        <v>5982171.0099999998</v>
      </c>
      <c r="G17" s="726">
        <v>5.0999999999999996</v>
      </c>
      <c r="H17" s="727">
        <f>H8+H9</f>
        <v>116794495</v>
      </c>
      <c r="I17" s="728">
        <f>ROUND(H17*G17/100,2)</f>
        <v>5956519.25</v>
      </c>
      <c r="J17" s="732">
        <v>5.0999999999999996</v>
      </c>
      <c r="K17" s="727">
        <f>K8+K9</f>
        <v>116794495</v>
      </c>
      <c r="L17" s="728">
        <f>ROUND(K17*J17/100,2)</f>
        <v>5956519.25</v>
      </c>
      <c r="M17" s="864"/>
      <c r="N17" s="865"/>
      <c r="Z17" s="137">
        <f t="shared" si="0"/>
        <v>0</v>
      </c>
      <c r="AA17" s="700"/>
      <c r="AD17" s="700"/>
      <c r="AG17" s="700"/>
    </row>
    <row r="18" spans="1:33" s="119" customFormat="1" ht="27.75" customHeight="1">
      <c r="A18" s="263"/>
      <c r="B18" s="264"/>
      <c r="C18" s="311" t="s">
        <v>438</v>
      </c>
      <c r="D18" s="1223" t="s">
        <v>412</v>
      </c>
      <c r="E18" s="1224" t="s">
        <v>412</v>
      </c>
      <c r="F18" s="1229">
        <f>SUMIFS(Титульный!$O$69:$O$326,Титульный!$L$69:$L$326,'119, 321, 323, 350, 851, 852'!M18,Титульный!$N$69:$N$326,'119, 321, 323, 350, 851, 852'!N18)-F38
+SUMIFS(Титульный!$O$69:$O$326,Титульный!$L$69:$L$326,'119, 321, 323, 350, 851, 852'!M18,Титульный!$N$69:$N$326,O18)</f>
        <v>35143377.239999995</v>
      </c>
      <c r="G18" s="1223" t="s">
        <v>412</v>
      </c>
      <c r="H18" s="1224" t="s">
        <v>412</v>
      </c>
      <c r="I18" s="1229">
        <f>SUMIFS(Титульный!$P$69:$P$326,Титульный!$L$69:$L$326,'119, 321, 323, 350, 851, 852'!M18,Титульный!$N$69:$N$326,'119, 321, 323, 350, 851, 852'!N18)-I38
+SUMIFS(Титульный!$P$69:$P$326,Титульный!$L$69:$L$326,'119, 321, 323, 350, 851, 852'!M18,Титульный!$N$69:$N$326,O18)</f>
        <v>35256459</v>
      </c>
      <c r="J18" s="1225" t="s">
        <v>412</v>
      </c>
      <c r="K18" s="1224" t="s">
        <v>412</v>
      </c>
      <c r="L18" s="1229">
        <f>SUMIFS(Титульный!$Q$69:$Q$326,Титульный!$L$69:$L$326,'119, 321, 323, 350, 851, 852'!M18,Титульный!$N$69:$N$326,'119, 321, 323, 350, 851, 852'!N18)-L38
+SUMIFS(Титульный!$Q$69:$Q$326,Титульный!$L$69:$L$326,'119, 321, 323, 350, 851, 852'!M18,Титульный!$N$69:$N$326,O18)</f>
        <v>35256459</v>
      </c>
      <c r="M18" s="864">
        <v>119</v>
      </c>
      <c r="N18" s="864">
        <v>213</v>
      </c>
      <c r="O18" s="864">
        <v>226</v>
      </c>
      <c r="Z18" s="137">
        <f t="shared" si="0"/>
        <v>0</v>
      </c>
    </row>
    <row r="19" spans="1:33" s="119" customFormat="1" ht="18.75">
      <c r="A19" s="144"/>
      <c r="B19" s="256"/>
      <c r="E19" s="137"/>
      <c r="F19" s="137"/>
      <c r="M19" s="864"/>
      <c r="N19" s="864"/>
      <c r="Z19" s="137">
        <f t="shared" si="0"/>
        <v>0</v>
      </c>
    </row>
    <row r="20" spans="1:33" s="144" customFormat="1" ht="18.75" hidden="1">
      <c r="B20" s="256"/>
      <c r="E20" s="137"/>
      <c r="F20" s="137"/>
      <c r="M20" s="864"/>
      <c r="N20" s="864"/>
      <c r="Z20" s="137">
        <f t="shared" si="0"/>
        <v>0</v>
      </c>
    </row>
    <row r="21" spans="1:33" s="144" customFormat="1" ht="18.75" hidden="1">
      <c r="B21" s="256"/>
      <c r="E21" s="137"/>
      <c r="F21" s="137"/>
      <c r="M21" s="864"/>
      <c r="N21" s="864"/>
      <c r="Z21" s="137">
        <f t="shared" si="0"/>
        <v>0</v>
      </c>
    </row>
    <row r="22" spans="1:33" s="215" customFormat="1" ht="36" customHeight="1">
      <c r="A22" s="1801" t="s">
        <v>551</v>
      </c>
      <c r="B22" s="1801"/>
      <c r="C22" s="1801"/>
      <c r="D22" s="1801"/>
      <c r="E22" s="1801"/>
      <c r="F22" s="1801"/>
      <c r="G22" s="1801"/>
      <c r="H22" s="1801"/>
      <c r="I22" s="1801"/>
      <c r="J22" s="1801"/>
      <c r="K22" s="1801"/>
      <c r="L22" s="1801"/>
      <c r="M22" s="855"/>
      <c r="N22" s="855"/>
      <c r="Z22" s="137">
        <f t="shared" si="0"/>
        <v>0</v>
      </c>
    </row>
    <row r="23" spans="1:33" s="119" customFormat="1" ht="18.75">
      <c r="B23" s="132"/>
      <c r="F23" s="137"/>
      <c r="G23" s="137"/>
      <c r="M23" s="864"/>
      <c r="N23" s="864"/>
      <c r="Z23" s="137">
        <f t="shared" si="0"/>
        <v>0</v>
      </c>
    </row>
    <row r="24" spans="1:33" s="119" customFormat="1" ht="34.5" customHeight="1">
      <c r="A24" s="1687" t="s">
        <v>541</v>
      </c>
      <c r="B24" s="1651" t="s">
        <v>430</v>
      </c>
      <c r="C24" s="1861" t="s">
        <v>493</v>
      </c>
      <c r="D24" s="1858" t="s">
        <v>1114</v>
      </c>
      <c r="E24" s="1859"/>
      <c r="F24" s="1860"/>
      <c r="G24" s="1856" t="s">
        <v>1121</v>
      </c>
      <c r="H24" s="1854"/>
      <c r="I24" s="1855"/>
      <c r="J24" s="1853" t="s">
        <v>1116</v>
      </c>
      <c r="K24" s="1854"/>
      <c r="L24" s="1855"/>
      <c r="M24" s="864"/>
      <c r="N24" s="864"/>
      <c r="Z24" s="137">
        <f t="shared" si="0"/>
        <v>0</v>
      </c>
      <c r="AA24" s="137">
        <f>SUM(F27:F37)-SUBTOTAL(109,F27:F37)</f>
        <v>0</v>
      </c>
      <c r="AB24" s="137">
        <f>SUM(I27:I37)-SUBTOTAL(109,I27:I37)</f>
        <v>0</v>
      </c>
      <c r="AC24" s="137">
        <f>SUM(L27:L37)-SUBTOTAL(109,L27:L37)</f>
        <v>0</v>
      </c>
    </row>
    <row r="25" spans="1:33" s="195" customFormat="1" ht="51" customHeight="1">
      <c r="A25" s="1688"/>
      <c r="B25" s="1684"/>
      <c r="C25" s="1862"/>
      <c r="D25" s="175" t="s">
        <v>691</v>
      </c>
      <c r="E25" s="173" t="s">
        <v>692</v>
      </c>
      <c r="F25" s="176" t="s">
        <v>693</v>
      </c>
      <c r="G25" s="175" t="s">
        <v>691</v>
      </c>
      <c r="H25" s="173" t="s">
        <v>692</v>
      </c>
      <c r="I25" s="176" t="s">
        <v>693</v>
      </c>
      <c r="J25" s="172" t="s">
        <v>691</v>
      </c>
      <c r="K25" s="173" t="s">
        <v>692</v>
      </c>
      <c r="L25" s="176" t="s">
        <v>693</v>
      </c>
      <c r="M25" s="864"/>
      <c r="N25" s="864"/>
      <c r="Z25" s="137">
        <f t="shared" si="0"/>
        <v>0</v>
      </c>
    </row>
    <row r="26" spans="1:33" s="119" customFormat="1" ht="18.75">
      <c r="A26" s="204" t="s">
        <v>6</v>
      </c>
      <c r="B26" s="205" t="s">
        <v>7</v>
      </c>
      <c r="C26" s="208" t="s">
        <v>8</v>
      </c>
      <c r="D26" s="204" t="s">
        <v>9</v>
      </c>
      <c r="E26" s="205" t="s">
        <v>10</v>
      </c>
      <c r="F26" s="209" t="s">
        <v>542</v>
      </c>
      <c r="G26" s="204" t="s">
        <v>416</v>
      </c>
      <c r="H26" s="205" t="s">
        <v>415</v>
      </c>
      <c r="I26" s="209" t="s">
        <v>543</v>
      </c>
      <c r="J26" s="207" t="s">
        <v>413</v>
      </c>
      <c r="K26" s="205" t="s">
        <v>418</v>
      </c>
      <c r="L26" s="209" t="s">
        <v>544</v>
      </c>
      <c r="M26" s="864"/>
      <c r="N26" s="864"/>
      <c r="Z26" s="137">
        <f t="shared" si="0"/>
        <v>0</v>
      </c>
    </row>
    <row r="27" spans="1:33" s="119" customFormat="1" ht="36" customHeight="1">
      <c r="A27" s="225" t="s">
        <v>68</v>
      </c>
      <c r="B27" s="254" t="s">
        <v>6</v>
      </c>
      <c r="C27" s="307" t="s">
        <v>694</v>
      </c>
      <c r="D27" s="724" t="s">
        <v>412</v>
      </c>
      <c r="E27" s="725" t="s">
        <v>412</v>
      </c>
      <c r="F27" s="735">
        <f>SUM(F28:F30)</f>
        <v>0</v>
      </c>
      <c r="G27" s="724" t="s">
        <v>412</v>
      </c>
      <c r="H27" s="725" t="s">
        <v>412</v>
      </c>
      <c r="I27" s="735">
        <f>SUM(I28:I30)</f>
        <v>0</v>
      </c>
      <c r="J27" s="743" t="s">
        <v>412</v>
      </c>
      <c r="K27" s="725" t="s">
        <v>412</v>
      </c>
      <c r="L27" s="735">
        <f>SUM(L28:L30)</f>
        <v>0</v>
      </c>
      <c r="M27" s="864"/>
      <c r="N27" s="864"/>
      <c r="Z27" s="137">
        <f t="shared" si="0"/>
        <v>0</v>
      </c>
    </row>
    <row r="28" spans="1:33" s="119" customFormat="1" ht="27.75" customHeight="1">
      <c r="A28" s="218" t="s">
        <v>68</v>
      </c>
      <c r="B28" s="216" t="s">
        <v>142</v>
      </c>
      <c r="C28" s="238" t="s">
        <v>695</v>
      </c>
      <c r="D28" s="723">
        <v>22</v>
      </c>
      <c r="E28" s="716">
        <f>ROUND(F28/D28*100,2)</f>
        <v>0</v>
      </c>
      <c r="F28" s="722">
        <f>ROUND($F$38*D28/30.2,2)</f>
        <v>0</v>
      </c>
      <c r="G28" s="723">
        <v>22</v>
      </c>
      <c r="H28" s="716">
        <f>ROUND(I28/G28*100,2)</f>
        <v>0</v>
      </c>
      <c r="I28" s="722">
        <f>ROUND($I$38*G28/30.2,2)</f>
        <v>0</v>
      </c>
      <c r="J28" s="721">
        <v>22</v>
      </c>
      <c r="K28" s="716">
        <f>ROUND(L28/J28*100,2)</f>
        <v>0</v>
      </c>
      <c r="L28" s="722">
        <f>ROUND($I$38*J28/30.2,2)</f>
        <v>0</v>
      </c>
      <c r="M28" s="864"/>
      <c r="N28" s="864"/>
      <c r="Z28" s="137">
        <f t="shared" si="0"/>
        <v>0</v>
      </c>
    </row>
    <row r="29" spans="1:33" s="119" customFormat="1" ht="27.75" customHeight="1">
      <c r="A29" s="218" t="s">
        <v>68</v>
      </c>
      <c r="B29" s="216" t="s">
        <v>144</v>
      </c>
      <c r="C29" s="238" t="s">
        <v>696</v>
      </c>
      <c r="D29" s="723">
        <v>10</v>
      </c>
      <c r="E29" s="716">
        <v>0</v>
      </c>
      <c r="F29" s="722">
        <v>0</v>
      </c>
      <c r="G29" s="723">
        <v>10</v>
      </c>
      <c r="H29" s="716">
        <v>0</v>
      </c>
      <c r="I29" s="722">
        <v>0</v>
      </c>
      <c r="J29" s="721">
        <v>10</v>
      </c>
      <c r="K29" s="716">
        <v>0</v>
      </c>
      <c r="L29" s="722">
        <v>0</v>
      </c>
      <c r="M29" s="864"/>
      <c r="N29" s="864"/>
      <c r="Z29" s="137">
        <f t="shared" si="0"/>
        <v>0</v>
      </c>
    </row>
    <row r="30" spans="1:33" s="119" customFormat="1" ht="53.25" customHeight="1">
      <c r="A30" s="218" t="s">
        <v>68</v>
      </c>
      <c r="B30" s="216" t="s">
        <v>146</v>
      </c>
      <c r="C30" s="308" t="s">
        <v>545</v>
      </c>
      <c r="D30" s="723"/>
      <c r="E30" s="716"/>
      <c r="F30" s="722"/>
      <c r="G30" s="723"/>
      <c r="H30" s="716"/>
      <c r="I30" s="722"/>
      <c r="J30" s="721"/>
      <c r="K30" s="716"/>
      <c r="L30" s="722"/>
      <c r="M30" s="864"/>
      <c r="N30" s="864"/>
      <c r="Z30" s="137">
        <f t="shared" si="0"/>
        <v>0</v>
      </c>
    </row>
    <row r="31" spans="1:33" s="119" customFormat="1" ht="36" customHeight="1">
      <c r="A31" s="218" t="s">
        <v>68</v>
      </c>
      <c r="B31" s="216" t="s">
        <v>7</v>
      </c>
      <c r="C31" s="308" t="s">
        <v>697</v>
      </c>
      <c r="D31" s="723" t="s">
        <v>412</v>
      </c>
      <c r="E31" s="716" t="s">
        <v>412</v>
      </c>
      <c r="F31" s="722">
        <f>SUM(F32:F36)</f>
        <v>0</v>
      </c>
      <c r="G31" s="723" t="s">
        <v>412</v>
      </c>
      <c r="H31" s="716" t="s">
        <v>412</v>
      </c>
      <c r="I31" s="722">
        <f>SUM(I32:I36)</f>
        <v>0</v>
      </c>
      <c r="J31" s="721" t="s">
        <v>412</v>
      </c>
      <c r="K31" s="716" t="s">
        <v>412</v>
      </c>
      <c r="L31" s="722">
        <f>SUM(L32:L36)</f>
        <v>0</v>
      </c>
      <c r="M31" s="864"/>
      <c r="N31" s="864"/>
      <c r="Z31" s="137">
        <f t="shared" si="0"/>
        <v>0</v>
      </c>
    </row>
    <row r="32" spans="1:33" s="119" customFormat="1" ht="53.25" customHeight="1">
      <c r="A32" s="218" t="s">
        <v>68</v>
      </c>
      <c r="B32" s="216" t="s">
        <v>546</v>
      </c>
      <c r="C32" s="308" t="s">
        <v>698</v>
      </c>
      <c r="D32" s="723">
        <v>2.9</v>
      </c>
      <c r="E32" s="716">
        <f>E28</f>
        <v>0</v>
      </c>
      <c r="F32" s="722">
        <f>ROUND($F$38*D32/30.2,2)</f>
        <v>0</v>
      </c>
      <c r="G32" s="723">
        <v>2.9</v>
      </c>
      <c r="H32" s="716">
        <f>H28</f>
        <v>0</v>
      </c>
      <c r="I32" s="722">
        <f>ROUND($I$38*G32/30.2,2)</f>
        <v>0</v>
      </c>
      <c r="J32" s="721">
        <v>2.9</v>
      </c>
      <c r="K32" s="716">
        <f>K28</f>
        <v>0</v>
      </c>
      <c r="L32" s="722">
        <f>ROUND($I$38*J32/30.2,2)</f>
        <v>0</v>
      </c>
      <c r="M32" s="864"/>
      <c r="N32" s="864"/>
      <c r="Z32" s="137">
        <f t="shared" si="0"/>
        <v>0</v>
      </c>
    </row>
    <row r="33" spans="1:33" s="119" customFormat="1" ht="36" customHeight="1">
      <c r="A33" s="218" t="s">
        <v>68</v>
      </c>
      <c r="B33" s="216" t="s">
        <v>547</v>
      </c>
      <c r="C33" s="308" t="s">
        <v>699</v>
      </c>
      <c r="D33" s="723">
        <v>0</v>
      </c>
      <c r="E33" s="716"/>
      <c r="F33" s="722"/>
      <c r="G33" s="723">
        <v>0</v>
      </c>
      <c r="H33" s="716"/>
      <c r="I33" s="722"/>
      <c r="J33" s="721">
        <v>0</v>
      </c>
      <c r="K33" s="716"/>
      <c r="L33" s="722"/>
      <c r="M33" s="864"/>
      <c r="N33" s="864"/>
      <c r="Z33" s="137">
        <f t="shared" si="0"/>
        <v>0</v>
      </c>
    </row>
    <row r="34" spans="1:33" s="119" customFormat="1" ht="53.25" customHeight="1">
      <c r="A34" s="218" t="s">
        <v>68</v>
      </c>
      <c r="B34" s="216" t="s">
        <v>548</v>
      </c>
      <c r="C34" s="308" t="s">
        <v>700</v>
      </c>
      <c r="D34" s="723">
        <v>0.2</v>
      </c>
      <c r="E34" s="716">
        <f>E28</f>
        <v>0</v>
      </c>
      <c r="F34" s="722">
        <f>ROUND($F$38*D34/30.2,2)</f>
        <v>0</v>
      </c>
      <c r="G34" s="723">
        <v>0.2</v>
      </c>
      <c r="H34" s="716">
        <f>H28</f>
        <v>0</v>
      </c>
      <c r="I34" s="722">
        <f>ROUND($I$38*G34/30.2,2)</f>
        <v>0</v>
      </c>
      <c r="J34" s="721">
        <v>0.2</v>
      </c>
      <c r="K34" s="716">
        <f>K28</f>
        <v>0</v>
      </c>
      <c r="L34" s="722">
        <f>ROUND($I$38*J34/30.2,2)</f>
        <v>0</v>
      </c>
      <c r="M34" s="864"/>
      <c r="N34" s="864"/>
      <c r="Z34" s="137">
        <f t="shared" si="0"/>
        <v>0</v>
      </c>
    </row>
    <row r="35" spans="1:33" s="119" customFormat="1" ht="53.25" customHeight="1">
      <c r="A35" s="218" t="s">
        <v>68</v>
      </c>
      <c r="B35" s="216" t="s">
        <v>549</v>
      </c>
      <c r="C35" s="308" t="s">
        <v>701</v>
      </c>
      <c r="D35" s="723"/>
      <c r="E35" s="716"/>
      <c r="F35" s="722"/>
      <c r="G35" s="723"/>
      <c r="H35" s="716"/>
      <c r="I35" s="722"/>
      <c r="J35" s="721"/>
      <c r="K35" s="716"/>
      <c r="L35" s="722"/>
      <c r="M35" s="864"/>
      <c r="N35" s="864"/>
      <c r="Z35" s="137">
        <f t="shared" si="0"/>
        <v>0</v>
      </c>
    </row>
    <row r="36" spans="1:33" s="119" customFormat="1" ht="53.25" customHeight="1">
      <c r="A36" s="218" t="s">
        <v>68</v>
      </c>
      <c r="B36" s="216" t="s">
        <v>550</v>
      </c>
      <c r="C36" s="308" t="s">
        <v>701</v>
      </c>
      <c r="D36" s="723"/>
      <c r="E36" s="716"/>
      <c r="F36" s="722"/>
      <c r="G36" s="723"/>
      <c r="H36" s="716"/>
      <c r="I36" s="722"/>
      <c r="J36" s="721"/>
      <c r="K36" s="716"/>
      <c r="L36" s="722"/>
      <c r="M36" s="864"/>
      <c r="N36" s="864"/>
      <c r="Z36" s="137">
        <f t="shared" ref="Z36:Z67" si="1">SUM(AA36:AR36)</f>
        <v>0</v>
      </c>
    </row>
    <row r="37" spans="1:33" s="119" customFormat="1" ht="58.5" customHeight="1">
      <c r="A37" s="243" t="s">
        <v>68</v>
      </c>
      <c r="B37" s="252" t="s">
        <v>8</v>
      </c>
      <c r="C37" s="309" t="s">
        <v>702</v>
      </c>
      <c r="D37" s="726">
        <v>5.0999999999999996</v>
      </c>
      <c r="E37" s="727">
        <f>E28</f>
        <v>0</v>
      </c>
      <c r="F37" s="728">
        <f>F38-F27-F31</f>
        <v>0</v>
      </c>
      <c r="G37" s="726">
        <v>5.0999999999999996</v>
      </c>
      <c r="H37" s="727">
        <f>H28</f>
        <v>0</v>
      </c>
      <c r="I37" s="728">
        <f>I38-I27-I31</f>
        <v>0</v>
      </c>
      <c r="J37" s="732">
        <v>5.0999999999999996</v>
      </c>
      <c r="K37" s="727">
        <f>K28</f>
        <v>0</v>
      </c>
      <c r="L37" s="728">
        <f>L38-L27-L31</f>
        <v>0</v>
      </c>
      <c r="M37" s="864"/>
      <c r="N37" s="864"/>
      <c r="Z37" s="137">
        <f t="shared" si="1"/>
        <v>0</v>
      </c>
      <c r="AA37" s="700"/>
      <c r="AB37" s="195"/>
      <c r="AC37" s="195"/>
      <c r="AD37" s="700"/>
      <c r="AE37" s="195"/>
      <c r="AF37" s="195"/>
      <c r="AG37" s="700"/>
    </row>
    <row r="38" spans="1:33" s="119" customFormat="1" ht="27.75" customHeight="1">
      <c r="A38" s="244"/>
      <c r="B38" s="410"/>
      <c r="C38" s="1234" t="s">
        <v>438</v>
      </c>
      <c r="D38" s="1232" t="s">
        <v>412</v>
      </c>
      <c r="E38" s="1233" t="s">
        <v>412</v>
      </c>
      <c r="F38" s="1229">
        <f>SUMIFS(Титульный!$O$69:$O$327,Титульный!$L$69:$L$327,'119, 321, 323, 350, 851, 852'!M38,Титульный!$N$69:$N$327,'119, 321, 323, 350, 851, 852'!N38,Титульный!$R$69:$R$327,O38)
+SUMIFS(Титульный!$O$69:$O$327,Титульный!$L$69:$L$327,'119, 321, 323, 350, 851, 852'!M39,Титульный!$N$69:$N$327,'119, 321, 323, 350, 851, 852'!N39,Титульный!$R$69:$R$327,O39)</f>
        <v>0</v>
      </c>
      <c r="G38" s="1232" t="s">
        <v>412</v>
      </c>
      <c r="H38" s="1233" t="s">
        <v>412</v>
      </c>
      <c r="I38" s="1229">
        <f>SUMIFS(Титульный!$P$69:$P$327,Титульный!$L$69:$L$327,'119, 321, 323, 350, 851, 852'!M38,Титульный!$N$69:$N$327,'119, 321, 323, 350, 851, 852'!N38,Титульный!$R$69:$R$327,O38)
+SUMIFS(Титульный!$P$69:$P$327,Титульный!$L$69:$L$327,'119, 321, 323, 350, 851, 852'!M39,Титульный!$N$69:$N$327,'119, 321, 323, 350, 851, 852'!N39,Титульный!$R$69:$R$327,O39)</f>
        <v>0</v>
      </c>
      <c r="J38" s="1235" t="s">
        <v>412</v>
      </c>
      <c r="K38" s="1233" t="s">
        <v>412</v>
      </c>
      <c r="L38" s="1229">
        <f>SUMIFS(Титульный!$Q$69:$Q$327,Титульный!$L$69:$L$327,'119, 321, 323, 350, 851, 852'!M38,Титульный!$N$69:$N$327,'119, 321, 323, 350, 851, 852'!N38,Титульный!$R$69:$R$327,O38)
+SUMIFS(Титульный!$Q$69:$Q$327,Титульный!$L$69:$L$327,'119, 321, 323, 350, 851, 852'!M39,Титульный!$N$69:$N$327,'119, 321, 323, 350, 851, 852'!N39,Титульный!$R$69:$R$327,O39)</f>
        <v>0</v>
      </c>
      <c r="M38" s="864">
        <v>119</v>
      </c>
      <c r="N38" s="864">
        <v>213</v>
      </c>
      <c r="O38" s="1236" t="s">
        <v>1107</v>
      </c>
      <c r="Z38" s="137">
        <f t="shared" si="1"/>
        <v>0</v>
      </c>
    </row>
    <row r="39" spans="1:33" s="119" customFormat="1" ht="18.75">
      <c r="A39" s="195"/>
      <c r="B39" s="132"/>
      <c r="C39" s="195"/>
      <c r="D39" s="195"/>
      <c r="E39" s="195"/>
      <c r="F39" s="195"/>
      <c r="G39" s="195"/>
      <c r="H39" s="195"/>
      <c r="I39" s="195"/>
      <c r="J39" s="195"/>
      <c r="K39" s="195"/>
      <c r="L39" s="195"/>
      <c r="M39" s="864">
        <v>119</v>
      </c>
      <c r="N39" s="864">
        <v>226</v>
      </c>
      <c r="O39" s="1237" t="s">
        <v>1101</v>
      </c>
      <c r="Z39" s="137">
        <f t="shared" si="1"/>
        <v>0</v>
      </c>
    </row>
    <row r="40" spans="1:33" s="119" customFormat="1" ht="36" customHeight="1">
      <c r="A40" s="1863" t="s">
        <v>728</v>
      </c>
      <c r="B40" s="1863"/>
      <c r="C40" s="1863"/>
      <c r="D40" s="1863"/>
      <c r="E40" s="1863"/>
      <c r="F40" s="1863"/>
      <c r="G40" s="1863"/>
      <c r="H40" s="1863"/>
      <c r="I40" s="1863"/>
      <c r="J40" s="1863"/>
      <c r="K40" s="1863"/>
      <c r="L40" s="1863"/>
      <c r="M40" s="864"/>
      <c r="N40" s="864"/>
      <c r="Z40" s="137">
        <f t="shared" si="1"/>
        <v>0</v>
      </c>
    </row>
    <row r="41" spans="1:33" s="119" customFormat="1" ht="18.75">
      <c r="A41" s="133"/>
      <c r="B41" s="132"/>
      <c r="M41" s="864"/>
      <c r="N41" s="864"/>
      <c r="Z41" s="137">
        <f t="shared" si="1"/>
        <v>0</v>
      </c>
    </row>
    <row r="42" spans="1:33" s="144" customFormat="1" ht="18.75" hidden="1">
      <c r="A42" s="133"/>
      <c r="B42" s="132"/>
      <c r="M42" s="864"/>
      <c r="N42" s="864"/>
      <c r="Z42" s="137">
        <f t="shared" si="1"/>
        <v>0</v>
      </c>
    </row>
    <row r="43" spans="1:33" s="119" customFormat="1" ht="18.75" hidden="1">
      <c r="B43" s="132"/>
      <c r="M43" s="864"/>
      <c r="N43" s="864"/>
      <c r="Z43" s="137">
        <f t="shared" si="1"/>
        <v>0</v>
      </c>
    </row>
    <row r="44" spans="1:33" s="215" customFormat="1" ht="36" customHeight="1">
      <c r="A44" s="1801" t="s">
        <v>833</v>
      </c>
      <c r="B44" s="1801"/>
      <c r="C44" s="1801"/>
      <c r="D44" s="1801"/>
      <c r="E44" s="1801"/>
      <c r="F44" s="1801"/>
      <c r="G44" s="1801"/>
      <c r="H44" s="1801"/>
      <c r="I44" s="1801"/>
      <c r="J44" s="1801"/>
      <c r="K44" s="1801"/>
      <c r="L44" s="1801"/>
      <c r="M44" s="855"/>
      <c r="N44" s="855"/>
      <c r="Z44" s="137">
        <f t="shared" si="1"/>
        <v>0</v>
      </c>
    </row>
    <row r="45" spans="1:33" s="195" customFormat="1" ht="18.75">
      <c r="B45" s="132"/>
      <c r="F45" s="137"/>
      <c r="G45" s="137"/>
      <c r="M45" s="864"/>
      <c r="N45" s="864"/>
      <c r="Z45" s="137">
        <f t="shared" si="1"/>
        <v>0</v>
      </c>
    </row>
    <row r="46" spans="1:33" s="195" customFormat="1" ht="34.5" customHeight="1">
      <c r="A46" s="1687" t="s">
        <v>541</v>
      </c>
      <c r="B46" s="1651" t="s">
        <v>430</v>
      </c>
      <c r="C46" s="1861" t="s">
        <v>493</v>
      </c>
      <c r="D46" s="1858" t="s">
        <v>1114</v>
      </c>
      <c r="E46" s="1859"/>
      <c r="F46" s="1860"/>
      <c r="G46" s="1856" t="s">
        <v>1121</v>
      </c>
      <c r="H46" s="1854"/>
      <c r="I46" s="1855"/>
      <c r="J46" s="1853" t="s">
        <v>1116</v>
      </c>
      <c r="K46" s="1854"/>
      <c r="L46" s="1855"/>
      <c r="M46" s="864"/>
      <c r="N46" s="864"/>
      <c r="Z46" s="137">
        <f t="shared" si="1"/>
        <v>0</v>
      </c>
      <c r="AA46" s="137">
        <f>SUM(F49:F52)-SUBTOTAL(109,F49:F52)</f>
        <v>0</v>
      </c>
      <c r="AB46" s="137">
        <f>SUM(I49:I52)-SUBTOTAL(109,I49:I52)</f>
        <v>0</v>
      </c>
      <c r="AC46" s="137">
        <f>SUM(L49:L52)-SUBTOTAL(109,L49:L52)</f>
        <v>0</v>
      </c>
    </row>
    <row r="47" spans="1:33" s="195" customFormat="1" ht="51" customHeight="1">
      <c r="A47" s="1688"/>
      <c r="B47" s="1684"/>
      <c r="C47" s="1862"/>
      <c r="D47" s="175" t="s">
        <v>703</v>
      </c>
      <c r="E47" s="173" t="s">
        <v>704</v>
      </c>
      <c r="F47" s="176" t="s">
        <v>693</v>
      </c>
      <c r="G47" s="175" t="s">
        <v>703</v>
      </c>
      <c r="H47" s="173" t="s">
        <v>704</v>
      </c>
      <c r="I47" s="176" t="s">
        <v>693</v>
      </c>
      <c r="J47" s="175" t="s">
        <v>703</v>
      </c>
      <c r="K47" s="173" t="s">
        <v>704</v>
      </c>
      <c r="L47" s="176" t="s">
        <v>693</v>
      </c>
      <c r="M47" s="864"/>
      <c r="N47" s="864"/>
      <c r="Z47" s="137">
        <f t="shared" si="1"/>
        <v>0</v>
      </c>
    </row>
    <row r="48" spans="1:33" s="195" customFormat="1" ht="18.75">
      <c r="A48" s="409" t="s">
        <v>6</v>
      </c>
      <c r="B48" s="411" t="s">
        <v>7</v>
      </c>
      <c r="C48" s="208" t="s">
        <v>8</v>
      </c>
      <c r="D48" s="409" t="s">
        <v>9</v>
      </c>
      <c r="E48" s="411" t="s">
        <v>10</v>
      </c>
      <c r="F48" s="209" t="s">
        <v>542</v>
      </c>
      <c r="G48" s="409" t="s">
        <v>416</v>
      </c>
      <c r="H48" s="411" t="s">
        <v>415</v>
      </c>
      <c r="I48" s="209" t="s">
        <v>543</v>
      </c>
      <c r="J48" s="207" t="s">
        <v>413</v>
      </c>
      <c r="K48" s="411" t="s">
        <v>418</v>
      </c>
      <c r="L48" s="209" t="s">
        <v>544</v>
      </c>
      <c r="M48" s="864"/>
      <c r="N48" s="864"/>
      <c r="Z48" s="137">
        <f t="shared" si="1"/>
        <v>0</v>
      </c>
    </row>
    <row r="49" spans="1:33" s="696" customFormat="1" ht="27.75" customHeight="1">
      <c r="A49" s="692" t="s">
        <v>68</v>
      </c>
      <c r="B49" s="693" t="s">
        <v>6</v>
      </c>
      <c r="C49" s="694" t="s">
        <v>748</v>
      </c>
      <c r="D49" s="846"/>
      <c r="E49" s="695"/>
      <c r="F49" s="873">
        <f>SUMIFS(Титульный!$O$69:$O$292,Титульный!$L$69:$L$292,'119, 321, 323, 350, 851, 852'!M49,Титульный!$N$69:$N$292,'119, 321, 323, 350, 851, 852'!N49)</f>
        <v>0</v>
      </c>
      <c r="G49" s="885"/>
      <c r="H49" s="886"/>
      <c r="I49" s="873">
        <f>SUMIFS(Титульный!$P$69:$P$292,Титульный!$L$69:$L$292,'119, 321, 323, 350, 851, 852'!M49,Титульный!$N$69:$N$292,'119, 321, 323, 350, 851, 852'!N49)</f>
        <v>0</v>
      </c>
      <c r="J49" s="887"/>
      <c r="K49" s="886"/>
      <c r="L49" s="873">
        <f>SUMIFS(Титульный!$Q$69:$Q$292,Титульный!$L$69:$L$292,'119, 321, 323, 350, 851, 852'!M49,Титульный!$N$69:$N$292,'119, 321, 323, 350, 851, 852'!N49)</f>
        <v>0</v>
      </c>
      <c r="M49" s="882">
        <v>119</v>
      </c>
      <c r="N49" s="882">
        <v>265</v>
      </c>
      <c r="Z49" s="137">
        <f t="shared" si="1"/>
        <v>0</v>
      </c>
    </row>
    <row r="50" spans="1:33" s="696" customFormat="1" ht="27.75" customHeight="1">
      <c r="A50" s="697">
        <v>119</v>
      </c>
      <c r="B50" s="685">
        <v>2</v>
      </c>
      <c r="C50" s="1153" t="s">
        <v>1022</v>
      </c>
      <c r="D50" s="847">
        <v>2</v>
      </c>
      <c r="E50" s="715">
        <f>F50/D50</f>
        <v>0</v>
      </c>
      <c r="F50" s="853">
        <f>SUMIFS(Титульный!$O$69:$O$292,Титульный!$L$69:$L$292,'119, 321, 323, 350, 851, 852'!M50,Титульный!$N$69:$N$292,'119, 321, 323, 350, 851, 852'!N50)</f>
        <v>0</v>
      </c>
      <c r="G50" s="847"/>
      <c r="H50" s="852"/>
      <c r="I50" s="853">
        <f>SUMIFS(Титульный!$P$69:$P$292,Титульный!$L$69:$L$292,'119, 321, 323, 350, 851, 852'!M50,Титульный!$N$69:$N$292,'119, 321, 323, 350, 851, 852'!N50)</f>
        <v>0</v>
      </c>
      <c r="J50" s="854"/>
      <c r="K50" s="852"/>
      <c r="L50" s="884">
        <f>SUMIFS(Титульный!$Q$69:$Q$292,Титульный!$L$69:$L$292,'119, 321, 323, 350, 851, 852'!M50,Титульный!$N$69:$N$292,'119, 321, 323, 350, 851, 852'!N50)</f>
        <v>0</v>
      </c>
      <c r="M50" s="881">
        <v>119</v>
      </c>
      <c r="N50" s="881">
        <v>266</v>
      </c>
      <c r="Z50" s="137">
        <f t="shared" si="1"/>
        <v>0</v>
      </c>
    </row>
    <row r="51" spans="1:33" s="195" customFormat="1" ht="27.75" customHeight="1">
      <c r="A51" s="218">
        <v>831</v>
      </c>
      <c r="B51" s="216">
        <v>3</v>
      </c>
      <c r="C51" s="238" t="s">
        <v>1021</v>
      </c>
      <c r="D51" s="723">
        <v>2</v>
      </c>
      <c r="E51" s="852">
        <f>F51/D51</f>
        <v>0</v>
      </c>
      <c r="F51" s="722">
        <f>SUMIFS(Титульный!$O$69:$O$292,Титульный!$L$69:$L$292,'119, 321, 323, 350, 851, 852'!M51,Титульный!$N$69:$N$292,'119, 321, 323, 350, 851, 852'!N51)</f>
        <v>0</v>
      </c>
      <c r="G51" s="723"/>
      <c r="H51" s="716"/>
      <c r="I51" s="722">
        <f>SUMIFS(Титульный!$P$69:$P$292,Титульный!$L$69:$L$292,'119, 321, 323, 350, 851, 852'!M51,Титульный!$N$69:$N$292,'119, 321, 323, 350, 851, 852'!N51)</f>
        <v>0</v>
      </c>
      <c r="J51" s="721"/>
      <c r="K51" s="716"/>
      <c r="L51" s="722">
        <f>SUMIFS(Титульный!$Q$69:$Q$292,Титульный!$L$69:$L$292,'119, 321, 323, 350, 851, 852'!M51,Титульный!$N$69:$N$292,'119, 321, 323, 350, 851, 852'!N51)</f>
        <v>0</v>
      </c>
      <c r="M51" s="864">
        <v>119</v>
      </c>
      <c r="N51" s="864">
        <v>831</v>
      </c>
      <c r="Z51" s="137">
        <f t="shared" si="1"/>
        <v>0</v>
      </c>
    </row>
    <row r="52" spans="1:33" s="195" customFormat="1" ht="27.75" customHeight="1">
      <c r="A52" s="218"/>
      <c r="B52" s="216"/>
      <c r="C52" s="413"/>
      <c r="D52" s="723"/>
      <c r="E52" s="716"/>
      <c r="F52" s="722"/>
      <c r="G52" s="723"/>
      <c r="H52" s="716"/>
      <c r="I52" s="722"/>
      <c r="J52" s="721"/>
      <c r="K52" s="716"/>
      <c r="L52" s="722"/>
      <c r="M52" s="864"/>
      <c r="N52" s="864"/>
      <c r="Z52" s="137">
        <f t="shared" si="1"/>
        <v>0</v>
      </c>
      <c r="AA52" s="700"/>
      <c r="AD52" s="700"/>
      <c r="AG52" s="700"/>
    </row>
    <row r="53" spans="1:33" s="195" customFormat="1" ht="27.75" customHeight="1">
      <c r="A53" s="244"/>
      <c r="B53" s="410"/>
      <c r="C53" s="412" t="s">
        <v>438</v>
      </c>
      <c r="D53" s="729" t="s">
        <v>412</v>
      </c>
      <c r="E53" s="730" t="s">
        <v>412</v>
      </c>
      <c r="F53" s="731"/>
      <c r="G53" s="729" t="s">
        <v>412</v>
      </c>
      <c r="H53" s="730" t="s">
        <v>412</v>
      </c>
      <c r="I53" s="731"/>
      <c r="J53" s="733" t="s">
        <v>412</v>
      </c>
      <c r="K53" s="730" t="s">
        <v>412</v>
      </c>
      <c r="L53" s="731"/>
      <c r="M53" s="864"/>
      <c r="N53" s="864"/>
      <c r="Z53" s="137">
        <f t="shared" si="1"/>
        <v>0</v>
      </c>
    </row>
    <row r="54" spans="1:33" s="195" customFormat="1" ht="18.75">
      <c r="B54" s="132"/>
      <c r="M54" s="864"/>
      <c r="N54" s="132"/>
      <c r="Z54" s="137">
        <f t="shared" si="1"/>
        <v>0</v>
      </c>
    </row>
    <row r="55" spans="1:33" s="195" customFormat="1" ht="36" hidden="1" customHeight="1">
      <c r="A55" s="1863"/>
      <c r="B55" s="1863"/>
      <c r="C55" s="1863"/>
      <c r="D55" s="1863"/>
      <c r="E55" s="1863"/>
      <c r="F55" s="1863"/>
      <c r="G55" s="1863"/>
      <c r="H55" s="1863"/>
      <c r="I55" s="1863"/>
      <c r="J55" s="1863"/>
      <c r="K55" s="1863"/>
      <c r="L55" s="1863"/>
      <c r="M55" s="864"/>
      <c r="N55" s="864"/>
      <c r="Z55" s="137">
        <f t="shared" si="1"/>
        <v>0</v>
      </c>
    </row>
    <row r="56" spans="1:33" s="195" customFormat="1" ht="18.75" hidden="1">
      <c r="B56" s="132"/>
      <c r="M56" s="864"/>
      <c r="N56" s="864"/>
      <c r="Z56" s="137">
        <f t="shared" si="1"/>
        <v>0</v>
      </c>
    </row>
    <row r="57" spans="1:33" s="195" customFormat="1" ht="18.75" hidden="1">
      <c r="B57" s="132"/>
      <c r="M57" s="864"/>
      <c r="N57" s="864"/>
      <c r="Z57" s="137">
        <f t="shared" si="1"/>
        <v>0</v>
      </c>
    </row>
    <row r="58" spans="1:33" s="195" customFormat="1" ht="18.75" hidden="1">
      <c r="B58" s="132"/>
      <c r="M58" s="864"/>
      <c r="N58" s="864"/>
      <c r="Z58" s="137">
        <f t="shared" si="1"/>
        <v>0</v>
      </c>
    </row>
    <row r="59" spans="1:33" s="195" customFormat="1" ht="18.75" hidden="1">
      <c r="B59" s="132"/>
      <c r="M59" s="864"/>
      <c r="N59" s="864"/>
      <c r="Z59" s="137">
        <f t="shared" si="1"/>
        <v>0</v>
      </c>
    </row>
    <row r="60" spans="1:33" s="215" customFormat="1" ht="36" hidden="1" customHeight="1">
      <c r="A60" s="1643" t="s">
        <v>552</v>
      </c>
      <c r="B60" s="1643"/>
      <c r="C60" s="1643"/>
      <c r="D60" s="1643"/>
      <c r="E60" s="1643"/>
      <c r="F60" s="1643"/>
      <c r="G60" s="1643"/>
      <c r="H60" s="1643"/>
      <c r="I60" s="1643"/>
      <c r="J60" s="1643"/>
      <c r="K60" s="1643"/>
      <c r="L60" s="1643"/>
      <c r="M60" s="855"/>
      <c r="N60" s="855"/>
      <c r="Z60" s="137">
        <f t="shared" si="1"/>
        <v>0</v>
      </c>
    </row>
    <row r="61" spans="1:33" s="119" customFormat="1" ht="18.75" hidden="1">
      <c r="B61" s="132"/>
      <c r="M61" s="864"/>
      <c r="N61" s="864"/>
      <c r="Z61" s="137">
        <f t="shared" si="1"/>
        <v>0</v>
      </c>
    </row>
    <row r="62" spans="1:33" s="119" customFormat="1" ht="33.75" hidden="1" customHeight="1">
      <c r="A62" s="1687" t="s">
        <v>541</v>
      </c>
      <c r="B62" s="1651" t="s">
        <v>430</v>
      </c>
      <c r="C62" s="1861" t="s">
        <v>493</v>
      </c>
      <c r="D62" s="1858" t="s">
        <v>1089</v>
      </c>
      <c r="E62" s="1859"/>
      <c r="F62" s="1860"/>
      <c r="G62" s="1856" t="s">
        <v>1084</v>
      </c>
      <c r="H62" s="1854"/>
      <c r="I62" s="1855"/>
      <c r="J62" s="1853" t="s">
        <v>1082</v>
      </c>
      <c r="K62" s="1854"/>
      <c r="L62" s="1855"/>
      <c r="M62" s="864"/>
      <c r="N62" s="864"/>
      <c r="Z62" s="137">
        <f t="shared" si="1"/>
        <v>328484.37</v>
      </c>
      <c r="AA62" s="137">
        <f>SUM(F65:F69)-SUBTOTAL(109,F65:F69)</f>
        <v>328484.37</v>
      </c>
      <c r="AB62" s="137">
        <f>SUM(I65:I69)-SUBTOTAL(109,I65:I69)</f>
        <v>0</v>
      </c>
      <c r="AC62" s="137">
        <f>SUM(L65:L69)-SUBTOTAL(109,L65:L69)</f>
        <v>0</v>
      </c>
    </row>
    <row r="63" spans="1:33" s="119" customFormat="1" ht="37.5" hidden="1" customHeight="1">
      <c r="A63" s="1688"/>
      <c r="B63" s="1684"/>
      <c r="C63" s="1862"/>
      <c r="D63" s="175" t="s">
        <v>703</v>
      </c>
      <c r="E63" s="173" t="s">
        <v>704</v>
      </c>
      <c r="F63" s="176" t="s">
        <v>693</v>
      </c>
      <c r="G63" s="175" t="s">
        <v>703</v>
      </c>
      <c r="H63" s="173" t="s">
        <v>704</v>
      </c>
      <c r="I63" s="176" t="s">
        <v>693</v>
      </c>
      <c r="J63" s="172" t="s">
        <v>703</v>
      </c>
      <c r="K63" s="173" t="s">
        <v>704</v>
      </c>
      <c r="L63" s="176" t="s">
        <v>693</v>
      </c>
      <c r="M63" s="864"/>
      <c r="N63" s="864"/>
      <c r="Z63" s="137">
        <f t="shared" si="1"/>
        <v>0</v>
      </c>
    </row>
    <row r="64" spans="1:33" s="144" customFormat="1" ht="18.75" hidden="1">
      <c r="A64" s="193" t="s">
        <v>6</v>
      </c>
      <c r="B64" s="205" t="s">
        <v>7</v>
      </c>
      <c r="C64" s="192" t="s">
        <v>8</v>
      </c>
      <c r="D64" s="193" t="s">
        <v>9</v>
      </c>
      <c r="E64" s="191" t="s">
        <v>10</v>
      </c>
      <c r="F64" s="194" t="s">
        <v>497</v>
      </c>
      <c r="G64" s="193" t="s">
        <v>416</v>
      </c>
      <c r="H64" s="191" t="s">
        <v>415</v>
      </c>
      <c r="I64" s="194" t="s">
        <v>498</v>
      </c>
      <c r="J64" s="190" t="s">
        <v>413</v>
      </c>
      <c r="K64" s="191" t="s">
        <v>418</v>
      </c>
      <c r="L64" s="192" t="s">
        <v>499</v>
      </c>
      <c r="M64" s="864"/>
      <c r="N64" s="864"/>
      <c r="Z64" s="137">
        <f t="shared" si="1"/>
        <v>0</v>
      </c>
    </row>
    <row r="65" spans="1:33" s="301" customFormat="1" ht="31.9" hidden="1" customHeight="1">
      <c r="A65" s="225" t="s">
        <v>83</v>
      </c>
      <c r="B65" s="254" t="s">
        <v>6</v>
      </c>
      <c r="C65" s="307" t="s">
        <v>255</v>
      </c>
      <c r="D65" s="724">
        <f>ROUNDUP(F65/50000,0)</f>
        <v>1</v>
      </c>
      <c r="E65" s="725">
        <f>IFERROR(ROUND(F65/D65,2),0)</f>
        <v>41398.019999999997</v>
      </c>
      <c r="F65" s="873">
        <f>SUMIFS(Титульный!$O$69:$O$292,Титульный!$L$69:$L$292,'119, 321, 323, 350, 851, 852'!M65,Титульный!$N$69:$N$292,'119, 321, 323, 350, 851, 852'!N65)</f>
        <v>41398.020000000004</v>
      </c>
      <c r="G65" s="724">
        <f>ROUNDUP(I65/50000,0)</f>
        <v>0</v>
      </c>
      <c r="H65" s="725">
        <f>IFERROR(ROUND(I65/G65,2),0)</f>
        <v>0</v>
      </c>
      <c r="I65" s="873">
        <f>SUMIFS(Титульный!$P$69:$P$292,Титульный!$L$69:$L$292,'119, 321, 323, 350, 851, 852'!M65,Титульный!$N$69:$N$292,'119, 321, 323, 350, 851, 852'!N65)</f>
        <v>0</v>
      </c>
      <c r="J65" s="724">
        <f>ROUNDUP(L65/50000,0)</f>
        <v>0</v>
      </c>
      <c r="K65" s="725">
        <f>IFERROR(ROUND(L65/J65,2),0)</f>
        <v>0</v>
      </c>
      <c r="L65" s="873">
        <f>SUMIFS(Титульный!$Q$69:$Q$292,Титульный!$L$69:$L$292,'119, 321, 323, 350, 851, 852'!M65,Титульный!$N$69:$N$292,'119, 321, 323, 350, 851, 852'!N65)</f>
        <v>0</v>
      </c>
      <c r="M65" s="881">
        <v>321</v>
      </c>
      <c r="N65" s="881">
        <v>265</v>
      </c>
      <c r="Z65" s="137">
        <f t="shared" si="1"/>
        <v>0</v>
      </c>
    </row>
    <row r="66" spans="1:33" s="301" customFormat="1" ht="46.5" hidden="1" customHeight="1">
      <c r="A66" s="218">
        <v>323</v>
      </c>
      <c r="B66" s="216" t="s">
        <v>7</v>
      </c>
      <c r="C66" s="378" t="s">
        <v>705</v>
      </c>
      <c r="D66" s="723">
        <f>ROUNDUP(F66/9000,0)</f>
        <v>0</v>
      </c>
      <c r="E66" s="716">
        <f>IFERROR(ROUND(F66/D66,2),0)</f>
        <v>0</v>
      </c>
      <c r="F66" s="853">
        <f>SUMIFS(Титульный!$O$69:$O$292,Титульный!$L$69:$L$292,'119, 321, 323, 350, 851, 852'!M66,Титульный!$N$69:$N$292,'119, 321, 323, 350, 851, 852'!N66)</f>
        <v>0</v>
      </c>
      <c r="G66" s="723">
        <f>ROUNDUP(I66/9000,0)</f>
        <v>0</v>
      </c>
      <c r="H66" s="716">
        <f>IFERROR(ROUND(I66/G66,2),0)</f>
        <v>0</v>
      </c>
      <c r="I66" s="853">
        <f>SUMIFS(Титульный!$P$69:$P$292,Титульный!$L$69:$L$292,'119, 321, 323, 350, 851, 852'!M66,Титульный!$N$69:$N$292,'119, 321, 323, 350, 851, 852'!N66)</f>
        <v>0</v>
      </c>
      <c r="J66" s="723">
        <f>ROUNDUP(L66/9000,0)</f>
        <v>0</v>
      </c>
      <c r="K66" s="716">
        <f>IFERROR(ROUND(L66/J66,2),0)</f>
        <v>0</v>
      </c>
      <c r="L66" s="884">
        <f>SUMIFS(Титульный!$Q$69:$Q$292,Титульный!$L$69:$L$292,'119, 321, 323, 350, 851, 852'!M66,Титульный!$N$69:$N$292,'119, 321, 323, 350, 851, 852'!N66)</f>
        <v>0</v>
      </c>
      <c r="M66" s="881">
        <v>323</v>
      </c>
      <c r="N66" s="881">
        <v>263</v>
      </c>
      <c r="Z66" s="137">
        <f t="shared" si="1"/>
        <v>0</v>
      </c>
    </row>
    <row r="67" spans="1:33" s="301" customFormat="1" ht="36.6" hidden="1" customHeight="1">
      <c r="A67" s="218">
        <v>321</v>
      </c>
      <c r="B67" s="216">
        <v>3</v>
      </c>
      <c r="C67" s="399" t="s">
        <v>256</v>
      </c>
      <c r="D67" s="723">
        <f>ROUNDUP(F67/25000,0)</f>
        <v>12</v>
      </c>
      <c r="E67" s="716">
        <f>IFERROR(ROUND(F67/D67,2),0)</f>
        <v>23923.86</v>
      </c>
      <c r="F67" s="853">
        <f>SUMIFS(Титульный!$O$69:$O$292,Титульный!$L$69:$L$292,'119, 321, 323, 350, 851, 852'!M67,Титульный!$N$69:$N$292,'119, 321, 323, 350, 851, 852'!N67)</f>
        <v>287086.34999999998</v>
      </c>
      <c r="G67" s="723">
        <f>ROUNDUP(I67/25000,0)</f>
        <v>0</v>
      </c>
      <c r="H67" s="716">
        <f>IFERROR(ROUND(I67/G67,2),0)</f>
        <v>0</v>
      </c>
      <c r="I67" s="853">
        <f>SUMIFS(Титульный!$P$69:$P$292,Титульный!$L$69:$L$292,'119, 321, 323, 350, 851, 852'!M67,Титульный!$N$69:$N$292,'119, 321, 323, 350, 851, 852'!N67)</f>
        <v>0</v>
      </c>
      <c r="J67" s="723">
        <f>ROUNDUP(L67/25000,0)</f>
        <v>0</v>
      </c>
      <c r="K67" s="716">
        <f>IFERROR(ROUND(L67/J67,2),0)</f>
        <v>0</v>
      </c>
      <c r="L67" s="884">
        <f>SUMIFS(Титульный!$Q$69:$Q$292,Титульный!$L$69:$L$292,'119, 321, 323, 350, 851, 852'!M67,Титульный!$N$69:$N$292,'119, 321, 323, 350, 851, 852'!N67)</f>
        <v>0</v>
      </c>
      <c r="M67" s="882">
        <v>321</v>
      </c>
      <c r="N67" s="882">
        <v>264</v>
      </c>
      <c r="Z67" s="137">
        <f t="shared" si="1"/>
        <v>0</v>
      </c>
    </row>
    <row r="68" spans="1:33" s="301" customFormat="1" ht="36.6" hidden="1" customHeight="1">
      <c r="A68" s="218">
        <v>321</v>
      </c>
      <c r="B68" s="216">
        <v>4</v>
      </c>
      <c r="C68" s="402"/>
      <c r="D68" s="723"/>
      <c r="E68" s="716"/>
      <c r="F68" s="722"/>
      <c r="G68" s="723"/>
      <c r="H68" s="716"/>
      <c r="I68" s="722"/>
      <c r="J68" s="723"/>
      <c r="K68" s="716"/>
      <c r="L68" s="858"/>
      <c r="M68" s="864"/>
      <c r="N68" s="864"/>
      <c r="Z68" s="137">
        <f t="shared" ref="Z68:Z99" si="2">SUM(AA68:AR68)</f>
        <v>0</v>
      </c>
    </row>
    <row r="69" spans="1:33" s="301" customFormat="1" ht="52.5" hidden="1" customHeight="1">
      <c r="A69" s="243">
        <v>321</v>
      </c>
      <c r="B69" s="252">
        <v>5</v>
      </c>
      <c r="C69" s="401"/>
      <c r="D69" s="726"/>
      <c r="E69" s="727"/>
      <c r="F69" s="728"/>
      <c r="G69" s="726"/>
      <c r="H69" s="727"/>
      <c r="I69" s="728"/>
      <c r="J69" s="726"/>
      <c r="K69" s="727"/>
      <c r="L69" s="857"/>
      <c r="M69" s="864"/>
      <c r="N69" s="864"/>
      <c r="Z69" s="137">
        <f t="shared" si="2"/>
        <v>0</v>
      </c>
      <c r="AA69" s="700"/>
      <c r="AD69" s="700"/>
      <c r="AG69" s="700"/>
    </row>
    <row r="70" spans="1:33" s="301" customFormat="1" ht="27.75" hidden="1" customHeight="1">
      <c r="A70" s="310"/>
      <c r="B70" s="224"/>
      <c r="C70" s="311" t="s">
        <v>438</v>
      </c>
      <c r="D70" s="729" t="s">
        <v>412</v>
      </c>
      <c r="E70" s="730" t="s">
        <v>412</v>
      </c>
      <c r="F70" s="731">
        <f>SUM(F65:F69)</f>
        <v>328484.37</v>
      </c>
      <c r="G70" s="729" t="s">
        <v>412</v>
      </c>
      <c r="H70" s="730" t="s">
        <v>412</v>
      </c>
      <c r="I70" s="731">
        <f>SUM(I65:I69)</f>
        <v>0</v>
      </c>
      <c r="J70" s="733" t="s">
        <v>412</v>
      </c>
      <c r="K70" s="730" t="s">
        <v>412</v>
      </c>
      <c r="L70" s="731">
        <f>SUM(L65:L69)</f>
        <v>0</v>
      </c>
      <c r="M70" s="864"/>
      <c r="N70" s="864"/>
      <c r="Z70" s="137">
        <f t="shared" si="2"/>
        <v>0</v>
      </c>
    </row>
    <row r="71" spans="1:33" s="119" customFormat="1" ht="18.75" hidden="1">
      <c r="B71" s="132"/>
      <c r="M71" s="864"/>
      <c r="N71" s="864"/>
      <c r="Z71" s="137">
        <f t="shared" si="2"/>
        <v>0</v>
      </c>
    </row>
    <row r="72" spans="1:33" s="144" customFormat="1" ht="18.75" hidden="1">
      <c r="B72" s="132"/>
      <c r="M72" s="864"/>
      <c r="N72" s="864"/>
      <c r="Z72" s="137">
        <f t="shared" si="2"/>
        <v>0</v>
      </c>
    </row>
    <row r="73" spans="1:33" s="144" customFormat="1" ht="18.75">
      <c r="B73" s="132"/>
      <c r="M73" s="864"/>
      <c r="N73" s="864"/>
      <c r="Z73" s="137">
        <f t="shared" si="2"/>
        <v>0</v>
      </c>
    </row>
    <row r="74" spans="1:33" s="215" customFormat="1" ht="36" customHeight="1">
      <c r="A74" s="1643" t="s">
        <v>706</v>
      </c>
      <c r="B74" s="1643"/>
      <c r="C74" s="1643"/>
      <c r="D74" s="1643"/>
      <c r="E74" s="1643"/>
      <c r="F74" s="1643"/>
      <c r="G74" s="1643"/>
      <c r="H74" s="1643"/>
      <c r="I74" s="1643"/>
      <c r="J74" s="1643"/>
      <c r="K74" s="1643"/>
      <c r="L74" s="1643"/>
      <c r="M74" s="855"/>
      <c r="N74" s="855"/>
      <c r="Z74" s="137">
        <f t="shared" si="2"/>
        <v>0</v>
      </c>
    </row>
    <row r="75" spans="1:33" s="119" customFormat="1" ht="18.75">
      <c r="A75" s="313"/>
      <c r="B75" s="314"/>
      <c r="C75" s="313"/>
      <c r="D75" s="313"/>
      <c r="E75" s="313"/>
      <c r="F75" s="313"/>
      <c r="G75" s="313"/>
      <c r="H75" s="313"/>
      <c r="I75" s="313"/>
      <c r="J75" s="313"/>
      <c r="K75" s="313"/>
      <c r="L75" s="313"/>
      <c r="M75" s="864"/>
      <c r="N75" s="864"/>
      <c r="Z75" s="137">
        <f t="shared" si="2"/>
        <v>0</v>
      </c>
    </row>
    <row r="76" spans="1:33" s="215" customFormat="1" ht="36" customHeight="1">
      <c r="A76" s="1716" t="s">
        <v>707</v>
      </c>
      <c r="B76" s="1716"/>
      <c r="C76" s="1716"/>
      <c r="D76" s="1716"/>
      <c r="E76" s="1716"/>
      <c r="F76" s="1716"/>
      <c r="G76" s="1716"/>
      <c r="H76" s="1716"/>
      <c r="I76" s="1716"/>
      <c r="J76" s="1716"/>
      <c r="K76" s="1716"/>
      <c r="L76" s="1716"/>
      <c r="M76" s="855"/>
      <c r="N76" s="855"/>
      <c r="Z76" s="137">
        <f t="shared" si="2"/>
        <v>0</v>
      </c>
    </row>
    <row r="77" spans="1:33" s="119" customFormat="1" ht="18.75">
      <c r="A77" s="313"/>
      <c r="B77" s="314"/>
      <c r="C77" s="313"/>
      <c r="D77" s="313"/>
      <c r="E77" s="313"/>
      <c r="F77" s="313"/>
      <c r="G77" s="313"/>
      <c r="H77" s="313"/>
      <c r="I77" s="313"/>
      <c r="J77" s="313"/>
      <c r="K77" s="313"/>
      <c r="L77" s="313"/>
      <c r="M77" s="864"/>
      <c r="N77" s="864"/>
      <c r="Z77" s="137">
        <f t="shared" si="2"/>
        <v>0</v>
      </c>
    </row>
    <row r="78" spans="1:33" s="215" customFormat="1" ht="36" customHeight="1">
      <c r="A78" s="1716" t="s">
        <v>689</v>
      </c>
      <c r="B78" s="1716"/>
      <c r="C78" s="1716"/>
      <c r="D78" s="1716"/>
      <c r="E78" s="1716"/>
      <c r="F78" s="1716"/>
      <c r="G78" s="1716"/>
      <c r="H78" s="1716"/>
      <c r="I78" s="1716"/>
      <c r="J78" s="1716"/>
      <c r="K78" s="1716"/>
      <c r="L78" s="1716"/>
      <c r="M78" s="855"/>
      <c r="N78" s="855"/>
      <c r="Z78" s="137">
        <f t="shared" si="2"/>
        <v>0</v>
      </c>
    </row>
    <row r="79" spans="1:33" s="119" customFormat="1" ht="18.75">
      <c r="B79" s="132"/>
      <c r="M79" s="864"/>
      <c r="N79" s="864"/>
      <c r="Z79" s="137">
        <f t="shared" si="2"/>
        <v>0</v>
      </c>
    </row>
    <row r="80" spans="1:33" s="144" customFormat="1" ht="33.75" customHeight="1">
      <c r="A80" s="1687" t="s">
        <v>541</v>
      </c>
      <c r="B80" s="1651" t="s">
        <v>430</v>
      </c>
      <c r="C80" s="1861" t="s">
        <v>493</v>
      </c>
      <c r="D80" s="1858" t="s">
        <v>1114</v>
      </c>
      <c r="E80" s="1859"/>
      <c r="F80" s="1860"/>
      <c r="G80" s="1856" t="s">
        <v>1121</v>
      </c>
      <c r="H80" s="1854"/>
      <c r="I80" s="1855"/>
      <c r="J80" s="1853" t="s">
        <v>1116</v>
      </c>
      <c r="K80" s="1854"/>
      <c r="L80" s="1855"/>
      <c r="M80" s="864"/>
      <c r="N80" s="864"/>
      <c r="Z80" s="137">
        <f t="shared" si="2"/>
        <v>0</v>
      </c>
      <c r="AA80" s="137">
        <f>SUM(F83:F84)-SUBTOTAL(109,F83:F84)</f>
        <v>0</v>
      </c>
      <c r="AB80" s="137">
        <f>SUM(I83:I84)-SUBTOTAL(109,I83:I84)</f>
        <v>0</v>
      </c>
      <c r="AC80" s="137">
        <f>SUM(L83:L84)-SUBTOTAL(109,L83:L84)</f>
        <v>0</v>
      </c>
    </row>
    <row r="81" spans="1:33" s="119" customFormat="1" ht="38.25">
      <c r="A81" s="1688"/>
      <c r="B81" s="1684"/>
      <c r="C81" s="1862"/>
      <c r="D81" s="248" t="s">
        <v>708</v>
      </c>
      <c r="E81" s="251" t="s">
        <v>709</v>
      </c>
      <c r="F81" s="282" t="s">
        <v>693</v>
      </c>
      <c r="G81" s="248" t="s">
        <v>708</v>
      </c>
      <c r="H81" s="251" t="s">
        <v>709</v>
      </c>
      <c r="I81" s="282" t="s">
        <v>693</v>
      </c>
      <c r="J81" s="296" t="s">
        <v>708</v>
      </c>
      <c r="K81" s="251" t="s">
        <v>709</v>
      </c>
      <c r="L81" s="282" t="s">
        <v>693</v>
      </c>
      <c r="M81" s="864"/>
      <c r="N81" s="864"/>
      <c r="Z81" s="137">
        <f t="shared" si="2"/>
        <v>0</v>
      </c>
    </row>
    <row r="82" spans="1:33" s="144" customFormat="1" ht="18.75">
      <c r="A82" s="193" t="s">
        <v>6</v>
      </c>
      <c r="B82" s="205" t="s">
        <v>7</v>
      </c>
      <c r="C82" s="192" t="s">
        <v>8</v>
      </c>
      <c r="D82" s="193" t="s">
        <v>9</v>
      </c>
      <c r="E82" s="191" t="s">
        <v>10</v>
      </c>
      <c r="F82" s="194" t="s">
        <v>497</v>
      </c>
      <c r="G82" s="193" t="s">
        <v>416</v>
      </c>
      <c r="H82" s="191" t="s">
        <v>415</v>
      </c>
      <c r="I82" s="194" t="s">
        <v>498</v>
      </c>
      <c r="J82" s="190" t="s">
        <v>413</v>
      </c>
      <c r="K82" s="191" t="s">
        <v>418</v>
      </c>
      <c r="L82" s="194" t="s">
        <v>499</v>
      </c>
      <c r="M82" s="864"/>
      <c r="N82" s="864"/>
      <c r="Z82" s="137">
        <f t="shared" si="2"/>
        <v>0</v>
      </c>
    </row>
    <row r="83" spans="1:33" s="119" customFormat="1" ht="27.75" customHeight="1">
      <c r="A83" s="225" t="s">
        <v>97</v>
      </c>
      <c r="B83" s="254" t="s">
        <v>6</v>
      </c>
      <c r="C83" s="312" t="s">
        <v>264</v>
      </c>
      <c r="D83" s="724">
        <f>ROUND(F83/E83,0)</f>
        <v>1438862</v>
      </c>
      <c r="E83" s="725">
        <v>2.2000000000000002</v>
      </c>
      <c r="F83" s="888">
        <f>SUMIFS(Титульный!$O$69:$O$292,Титульный!$R$69:$R$292,'119, 321, 323, 350, 851, 852'!M83)</f>
        <v>3165495.84</v>
      </c>
      <c r="G83" s="724">
        <f>ROUND(I83/H83,0)</f>
        <v>1406000</v>
      </c>
      <c r="H83" s="725">
        <v>2.2000000000000002</v>
      </c>
      <c r="I83" s="735">
        <f>SUMIFS(Титульный!$P$69:$P$292,Титульный!$R$69:$R$292,'119, 321, 323, 350, 851, 852'!M83)</f>
        <v>3093200</v>
      </c>
      <c r="J83" s="743">
        <f>ROUND(L83/K83,0)</f>
        <v>1384955</v>
      </c>
      <c r="K83" s="725">
        <v>2.2000000000000002</v>
      </c>
      <c r="L83" s="735">
        <f>SUMIFS(Титульный!$Q$69:$Q$292,Титульный!$R$69:$R$292,'119, 321, 323, 350, 851, 852'!M83)</f>
        <v>3046900</v>
      </c>
      <c r="M83" s="1134" t="s">
        <v>264</v>
      </c>
      <c r="N83" s="132"/>
      <c r="Z83" s="137">
        <f t="shared" si="2"/>
        <v>0</v>
      </c>
    </row>
    <row r="84" spans="1:33" s="119" customFormat="1" ht="27.75" customHeight="1">
      <c r="A84" s="243" t="s">
        <v>97</v>
      </c>
      <c r="B84" s="252" t="s">
        <v>7</v>
      </c>
      <c r="C84" s="232" t="s">
        <v>265</v>
      </c>
      <c r="D84" s="726">
        <f>ROUND(F84/E84,0)</f>
        <v>485733</v>
      </c>
      <c r="E84" s="727">
        <v>1.5</v>
      </c>
      <c r="F84" s="728">
        <f>SUMIFS(Титульный!$O$69:$O$292,Титульный!$M$69:$M$292,'119, 321, 323, 350, 851, 852'!M84)</f>
        <v>728600</v>
      </c>
      <c r="G84" s="726">
        <f>ROUND(I84/H84,0)</f>
        <v>485733</v>
      </c>
      <c r="H84" s="727">
        <v>1.5</v>
      </c>
      <c r="I84" s="728">
        <f>SUMIFS(Титульный!$P$69:$P$292,Титульный!$M$69:$M$292,'119, 321, 323, 350, 851, 852'!M84)</f>
        <v>728600</v>
      </c>
      <c r="J84" s="732">
        <f>ROUND(L84/K84,0)</f>
        <v>485733</v>
      </c>
      <c r="K84" s="727">
        <v>1.5</v>
      </c>
      <c r="L84" s="728">
        <f>SUMIFS(Титульный!$Q$69:$Q$292,Титульный!$M$69:$M$292,'119, 321, 323, 350, 851, 852'!M84)</f>
        <v>728600</v>
      </c>
      <c r="M84" s="864">
        <v>16996</v>
      </c>
      <c r="N84" s="132"/>
      <c r="Z84" s="137">
        <f t="shared" si="2"/>
        <v>0</v>
      </c>
      <c r="AA84" s="700"/>
      <c r="AD84" s="700"/>
      <c r="AG84" s="700"/>
    </row>
    <row r="85" spans="1:33" s="119" customFormat="1" ht="27.75" customHeight="1">
      <c r="A85" s="223"/>
      <c r="B85" s="224"/>
      <c r="C85" s="311" t="s">
        <v>554</v>
      </c>
      <c r="D85" s="729" t="s">
        <v>412</v>
      </c>
      <c r="E85" s="730" t="s">
        <v>412</v>
      </c>
      <c r="F85" s="731">
        <f>F83+F84</f>
        <v>3894095.84</v>
      </c>
      <c r="G85" s="729" t="s">
        <v>412</v>
      </c>
      <c r="H85" s="730" t="s">
        <v>412</v>
      </c>
      <c r="I85" s="731">
        <f>I83+I84</f>
        <v>3821800</v>
      </c>
      <c r="J85" s="733" t="s">
        <v>412</v>
      </c>
      <c r="K85" s="730" t="s">
        <v>412</v>
      </c>
      <c r="L85" s="731">
        <f>L83+L84</f>
        <v>3775500</v>
      </c>
      <c r="M85" s="864"/>
      <c r="N85" s="864"/>
      <c r="Z85" s="137">
        <f t="shared" si="2"/>
        <v>0</v>
      </c>
    </row>
    <row r="86" spans="1:33" s="119" customFormat="1" ht="18.75">
      <c r="B86" s="132"/>
      <c r="M86" s="864"/>
      <c r="N86" s="864"/>
      <c r="Z86" s="137">
        <f t="shared" si="2"/>
        <v>0</v>
      </c>
    </row>
    <row r="87" spans="1:33" s="144" customFormat="1" ht="18.75" hidden="1">
      <c r="B87" s="132"/>
      <c r="M87" s="864"/>
      <c r="N87" s="864"/>
      <c r="Z87" s="137">
        <f t="shared" si="2"/>
        <v>0</v>
      </c>
    </row>
    <row r="88" spans="1:33" s="144" customFormat="1" ht="18.75" hidden="1">
      <c r="B88" s="132"/>
      <c r="M88" s="864"/>
      <c r="N88" s="864"/>
      <c r="Z88" s="137">
        <f t="shared" si="2"/>
        <v>0</v>
      </c>
    </row>
    <row r="89" spans="1:33" s="215" customFormat="1" ht="36" customHeight="1">
      <c r="A89" s="1716" t="s">
        <v>710</v>
      </c>
      <c r="B89" s="1716"/>
      <c r="C89" s="1716"/>
      <c r="D89" s="1716"/>
      <c r="E89" s="1716"/>
      <c r="F89" s="1716"/>
      <c r="G89" s="1716"/>
      <c r="H89" s="1716"/>
      <c r="I89" s="1716"/>
      <c r="J89" s="1716"/>
      <c r="K89" s="1716"/>
      <c r="M89" s="855"/>
      <c r="N89" s="855"/>
      <c r="Z89" s="137">
        <f t="shared" si="2"/>
        <v>0</v>
      </c>
    </row>
    <row r="90" spans="1:33" s="119" customFormat="1" ht="18.75">
      <c r="B90" s="132"/>
      <c r="M90" s="864"/>
      <c r="N90" s="864"/>
      <c r="Z90" s="137">
        <f t="shared" si="2"/>
        <v>0</v>
      </c>
    </row>
    <row r="91" spans="1:33" s="144" customFormat="1" ht="33.75" customHeight="1">
      <c r="A91" s="1687" t="s">
        <v>541</v>
      </c>
      <c r="B91" s="1651" t="s">
        <v>430</v>
      </c>
      <c r="C91" s="1861" t="s">
        <v>493</v>
      </c>
      <c r="D91" s="1858" t="s">
        <v>1114</v>
      </c>
      <c r="E91" s="1859"/>
      <c r="F91" s="1860"/>
      <c r="G91" s="1856" t="s">
        <v>1121</v>
      </c>
      <c r="H91" s="1854"/>
      <c r="I91" s="1855"/>
      <c r="J91" s="1853" t="s">
        <v>1116</v>
      </c>
      <c r="K91" s="1854"/>
      <c r="L91" s="1855"/>
      <c r="M91" s="864"/>
      <c r="N91" s="864"/>
      <c r="Z91" s="137">
        <f t="shared" si="2"/>
        <v>0</v>
      </c>
      <c r="AA91" s="137">
        <f>SUM(F94:F95)-SUBTOTAL(109,F94:F95)</f>
        <v>0</v>
      </c>
      <c r="AB91" s="137">
        <f>SUM(I94:I95)-SUBTOTAL(109,I94:I95)</f>
        <v>0</v>
      </c>
      <c r="AC91" s="137">
        <f>SUM(L94:L95)-SUBTOTAL(109,L94:L95)</f>
        <v>0</v>
      </c>
    </row>
    <row r="92" spans="1:33" s="144" customFormat="1" ht="38.25">
      <c r="A92" s="1688"/>
      <c r="B92" s="1684"/>
      <c r="C92" s="1862"/>
      <c r="D92" s="315" t="s">
        <v>711</v>
      </c>
      <c r="E92" s="316" t="s">
        <v>712</v>
      </c>
      <c r="F92" s="282" t="s">
        <v>693</v>
      </c>
      <c r="G92" s="315" t="s">
        <v>711</v>
      </c>
      <c r="H92" s="316" t="s">
        <v>712</v>
      </c>
      <c r="I92" s="282" t="s">
        <v>693</v>
      </c>
      <c r="J92" s="315" t="s">
        <v>711</v>
      </c>
      <c r="K92" s="316" t="s">
        <v>712</v>
      </c>
      <c r="L92" s="282" t="s">
        <v>693</v>
      </c>
      <c r="M92" s="864"/>
      <c r="N92" s="864"/>
      <c r="Z92" s="137">
        <f t="shared" si="2"/>
        <v>0</v>
      </c>
    </row>
    <row r="93" spans="1:33" s="144" customFormat="1" ht="18.75">
      <c r="A93" s="193" t="s">
        <v>6</v>
      </c>
      <c r="B93" s="205" t="s">
        <v>7</v>
      </c>
      <c r="C93" s="192" t="s">
        <v>8</v>
      </c>
      <c r="D93" s="193" t="s">
        <v>9</v>
      </c>
      <c r="E93" s="191" t="s">
        <v>10</v>
      </c>
      <c r="F93" s="194" t="s">
        <v>497</v>
      </c>
      <c r="G93" s="193" t="s">
        <v>416</v>
      </c>
      <c r="H93" s="191" t="s">
        <v>415</v>
      </c>
      <c r="I93" s="194" t="s">
        <v>498</v>
      </c>
      <c r="J93" s="190" t="s">
        <v>413</v>
      </c>
      <c r="K93" s="191" t="s">
        <v>418</v>
      </c>
      <c r="L93" s="194" t="s">
        <v>499</v>
      </c>
      <c r="M93" s="864"/>
      <c r="N93" s="864"/>
      <c r="Z93" s="137">
        <f t="shared" si="2"/>
        <v>0</v>
      </c>
    </row>
    <row r="94" spans="1:33" s="144" customFormat="1" ht="27.75" customHeight="1">
      <c r="A94" s="1213">
        <v>852</v>
      </c>
      <c r="B94" s="893"/>
      <c r="C94" s="1214" t="s">
        <v>257</v>
      </c>
      <c r="D94" s="1215">
        <f>IFERROR(ROUND(F94/E94,2),0)</f>
        <v>0</v>
      </c>
      <c r="E94" s="1216">
        <f>ROUNDUP(F94/5000,0)</f>
        <v>0</v>
      </c>
      <c r="F94" s="1217">
        <f>SUMIFS(Титульный!$O$69:$O$292,Титульный!$L$69:$L$292,'119, 321, 323, 350, 851, 852'!M94,Титульный!$N$69:$N$292,'119, 321, 323, 350, 851, 852'!N94,Титульный!$R$69:$R$292,O94)</f>
        <v>0</v>
      </c>
      <c r="G94" s="1215">
        <f>IFERROR(ROUND(I94/H94,2),0)</f>
        <v>0</v>
      </c>
      <c r="H94" s="1216">
        <f>ROUNDUP(I94/5000,0)</f>
        <v>0</v>
      </c>
      <c r="I94" s="1217">
        <f>SUMIFS(Титульный!$P$69:$P$292,Титульный!$L$69:$L$292,'119, 321, 323, 350, 851, 852'!M94,Титульный!$N$69:$N$292,'119, 321, 323, 350, 851, 852'!N94,Титульный!$R$69:$R$292,O94)</f>
        <v>0</v>
      </c>
      <c r="J94" s="1215">
        <f>IFERROR(ROUND(L94/K94,2),0)</f>
        <v>0</v>
      </c>
      <c r="K94" s="1216">
        <f>ROUNDUP(L94/5000,0)</f>
        <v>0</v>
      </c>
      <c r="L94" s="1218">
        <f>SUMIFS(Титульный!$Q$69:$Q$292,Титульный!$L$69:$L$292,'119, 321, 323, 350, 851, 852'!M94,Титульный!$N$69:$N$292,'119, 321, 323, 350, 851, 852'!N94,Титульный!$R$69:$R$292,O94)</f>
        <v>0</v>
      </c>
      <c r="M94" s="864">
        <v>852</v>
      </c>
      <c r="N94" s="864">
        <v>291</v>
      </c>
      <c r="O94" s="144" t="s">
        <v>257</v>
      </c>
      <c r="Z94" s="137">
        <f t="shared" si="2"/>
        <v>0</v>
      </c>
    </row>
    <row r="95" spans="1:33" s="144" customFormat="1" ht="27.75" customHeight="1">
      <c r="A95" s="223">
        <v>852</v>
      </c>
      <c r="B95" s="410"/>
      <c r="C95" s="1209" t="s">
        <v>1024</v>
      </c>
      <c r="D95" s="1210">
        <f>IFERROR(ROUND(F95/E95,2),0)</f>
        <v>0</v>
      </c>
      <c r="E95" s="844">
        <f>ROUNDUP(F95/5000,0)</f>
        <v>0</v>
      </c>
      <c r="F95" s="1211">
        <f>SUMIFS(Титульный!$O$69:$O$292,Титульный!$L$69:$L$292,'119, 321, 323, 350, 851, 852'!M95,Титульный!$N$69:$N$292,'119, 321, 323, 350, 851, 852'!N95,Титульный!$R$69:$R$292,O95)</f>
        <v>0</v>
      </c>
      <c r="G95" s="1210">
        <f>IFERROR(ROUND(I95/H95,2),0)</f>
        <v>0</v>
      </c>
      <c r="H95" s="844">
        <f>ROUNDUP(I95/5000,0)</f>
        <v>0</v>
      </c>
      <c r="I95" s="1211">
        <f>SUMIFS(Титульный!$P$69:$P$292,Титульный!$L$69:$L$292,'119, 321, 323, 350, 851, 852'!M95,Титульный!$N$69:$N$292,'119, 321, 323, 350, 851, 852'!N95,Титульный!$R$69:$R$292,O95)</f>
        <v>0</v>
      </c>
      <c r="J95" s="1212">
        <f>IFERROR(ROUND(L95/K95,2),0)</f>
        <v>0</v>
      </c>
      <c r="K95" s="844">
        <f>ROUNDUP(L95/5000,0)</f>
        <v>0</v>
      </c>
      <c r="L95" s="1211">
        <f>SUMIFS(Титульный!$Q$69:$Q$292,Титульный!$L$69:$L$292,'119, 321, 323, 350, 851, 852'!M95,Титульный!$N$69:$N$292,'119, 321, 323, 350, 851, 852'!N95,Титульный!$R$69:$R$292,O95)</f>
        <v>0</v>
      </c>
      <c r="M95" s="864">
        <v>852</v>
      </c>
      <c r="N95" s="864">
        <v>291</v>
      </c>
      <c r="O95" s="144" t="s">
        <v>1024</v>
      </c>
      <c r="Z95" s="137">
        <f t="shared" si="2"/>
        <v>0</v>
      </c>
    </row>
    <row r="96" spans="1:33" s="144" customFormat="1" ht="27.75" customHeight="1">
      <c r="A96" s="223"/>
      <c r="B96" s="224"/>
      <c r="C96" s="311" t="s">
        <v>554</v>
      </c>
      <c r="D96" s="729" t="s">
        <v>412</v>
      </c>
      <c r="E96" s="730" t="s">
        <v>412</v>
      </c>
      <c r="F96" s="731">
        <f>SUM(F94:F95)</f>
        <v>0</v>
      </c>
      <c r="G96" s="729" t="s">
        <v>412</v>
      </c>
      <c r="H96" s="730" t="s">
        <v>412</v>
      </c>
      <c r="I96" s="731">
        <f>SUM(I94:I95)</f>
        <v>0</v>
      </c>
      <c r="J96" s="733" t="s">
        <v>412</v>
      </c>
      <c r="K96" s="730" t="s">
        <v>412</v>
      </c>
      <c r="L96" s="731">
        <f>SUM(L94:L95)</f>
        <v>0</v>
      </c>
      <c r="M96" s="864"/>
      <c r="N96" s="864"/>
      <c r="Z96" s="137">
        <f t="shared" si="2"/>
        <v>0</v>
      </c>
    </row>
    <row r="97" spans="1:29" s="119" customFormat="1" ht="12" customHeight="1">
      <c r="A97" s="121"/>
      <c r="B97" s="132"/>
      <c r="C97" s="121"/>
      <c r="D97" s="121"/>
      <c r="E97" s="121"/>
      <c r="F97" s="121"/>
      <c r="G97" s="121"/>
      <c r="H97" s="121"/>
      <c r="I97" s="121"/>
      <c r="J97" s="121"/>
      <c r="K97" s="121"/>
      <c r="L97" s="121"/>
      <c r="M97" s="864"/>
      <c r="N97" s="864"/>
      <c r="Z97" s="137">
        <f t="shared" si="2"/>
        <v>0</v>
      </c>
    </row>
    <row r="98" spans="1:29" s="119" customFormat="1" ht="18.75">
      <c r="A98" s="121"/>
      <c r="B98" s="132"/>
      <c r="C98" s="121"/>
      <c r="D98" s="121"/>
      <c r="E98" s="121"/>
      <c r="F98" s="121"/>
      <c r="G98" s="121"/>
      <c r="H98" s="121"/>
      <c r="I98" s="121"/>
      <c r="J98" s="121"/>
      <c r="K98" s="121"/>
      <c r="L98" s="121"/>
      <c r="M98" s="864"/>
      <c r="N98" s="864"/>
      <c r="Z98" s="137">
        <f t="shared" si="2"/>
        <v>0</v>
      </c>
    </row>
    <row r="99" spans="1:29" s="144" customFormat="1" ht="18.75">
      <c r="A99" s="121"/>
      <c r="B99" s="132"/>
      <c r="C99" s="121"/>
      <c r="D99" s="121"/>
      <c r="E99" s="121"/>
      <c r="F99" s="121"/>
      <c r="G99" s="121"/>
      <c r="H99" s="121"/>
      <c r="I99" s="121"/>
      <c r="J99" s="121"/>
      <c r="K99" s="121"/>
      <c r="L99" s="121"/>
      <c r="M99" s="864"/>
      <c r="N99" s="864"/>
      <c r="Z99" s="137">
        <f t="shared" si="2"/>
        <v>0</v>
      </c>
    </row>
    <row r="100" spans="1:29" s="195" customFormat="1" ht="34.5" customHeight="1">
      <c r="A100" s="1687" t="s">
        <v>541</v>
      </c>
      <c r="B100" s="1651" t="s">
        <v>430</v>
      </c>
      <c r="C100" s="1726" t="s">
        <v>553</v>
      </c>
      <c r="D100" s="1858" t="s">
        <v>1114</v>
      </c>
      <c r="E100" s="1859"/>
      <c r="F100" s="1860"/>
      <c r="G100" s="1856" t="s">
        <v>1121</v>
      </c>
      <c r="H100" s="1854"/>
      <c r="I100" s="1855"/>
      <c r="J100" s="1853" t="s">
        <v>1116</v>
      </c>
      <c r="K100" s="1854"/>
      <c r="L100" s="1855"/>
      <c r="M100" s="864"/>
      <c r="N100" s="864"/>
      <c r="Z100" s="137">
        <f t="shared" ref="Z100:Z127" si="3">SUM(AA100:AR100)</f>
        <v>0</v>
      </c>
      <c r="AA100" s="137">
        <f>SUM(F103:F106)-SUBTOTAL(109,F103:F106)</f>
        <v>0</v>
      </c>
      <c r="AB100" s="137">
        <f>SUM(I103:I106)-SUBTOTAL(109,I103:I106)</f>
        <v>0</v>
      </c>
      <c r="AC100" s="137">
        <f>SUM(L103:L106)-SUBTOTAL(109,L103:L106)</f>
        <v>0</v>
      </c>
    </row>
    <row r="101" spans="1:29" s="195" customFormat="1" ht="38.25">
      <c r="A101" s="1688"/>
      <c r="B101" s="1684"/>
      <c r="C101" s="1727"/>
      <c r="D101" s="315" t="s">
        <v>711</v>
      </c>
      <c r="E101" s="316" t="s">
        <v>712</v>
      </c>
      <c r="F101" s="317" t="s">
        <v>693</v>
      </c>
      <c r="G101" s="315" t="s">
        <v>711</v>
      </c>
      <c r="H101" s="316" t="s">
        <v>712</v>
      </c>
      <c r="I101" s="317" t="s">
        <v>693</v>
      </c>
      <c r="J101" s="315" t="s">
        <v>711</v>
      </c>
      <c r="K101" s="316" t="s">
        <v>712</v>
      </c>
      <c r="L101" s="317" t="s">
        <v>693</v>
      </c>
      <c r="M101" s="864"/>
      <c r="N101" s="864"/>
      <c r="Z101" s="137">
        <f t="shared" si="3"/>
        <v>0</v>
      </c>
    </row>
    <row r="102" spans="1:29" s="195" customFormat="1" ht="18.75">
      <c r="A102" s="153" t="s">
        <v>6</v>
      </c>
      <c r="B102" s="371" t="s">
        <v>7</v>
      </c>
      <c r="C102" s="375" t="s">
        <v>8</v>
      </c>
      <c r="D102" s="153" t="s">
        <v>9</v>
      </c>
      <c r="E102" s="352" t="s">
        <v>10</v>
      </c>
      <c r="F102" s="353" t="s">
        <v>497</v>
      </c>
      <c r="G102" s="153" t="s">
        <v>416</v>
      </c>
      <c r="H102" s="352" t="s">
        <v>415</v>
      </c>
      <c r="I102" s="353" t="s">
        <v>498</v>
      </c>
      <c r="J102" s="153" t="s">
        <v>413</v>
      </c>
      <c r="K102" s="352" t="s">
        <v>418</v>
      </c>
      <c r="L102" s="353" t="s">
        <v>499</v>
      </c>
      <c r="M102" s="864"/>
      <c r="N102" s="864"/>
      <c r="Z102" s="137">
        <f t="shared" si="3"/>
        <v>0</v>
      </c>
    </row>
    <row r="103" spans="1:29" s="195" customFormat="1" ht="27.75" customHeight="1">
      <c r="A103" s="225">
        <v>350</v>
      </c>
      <c r="B103" s="254" t="s">
        <v>6</v>
      </c>
      <c r="C103" s="307" t="s">
        <v>263</v>
      </c>
      <c r="D103" s="724">
        <f>IFERROR(ROUND(F103/E103,2),0)</f>
        <v>0</v>
      </c>
      <c r="E103" s="725">
        <f>ROUND(F103/20000,0)</f>
        <v>0</v>
      </c>
      <c r="F103" s="888">
        <f>SUMIFS(Титульный!$O$69:$O$292,Титульный!$L$69:$L$292,'119, 321, 323, 350, 851, 852'!M103,Титульный!$N$69:$N$292,'119, 321, 323, 350, 851, 852'!N103)</f>
        <v>0</v>
      </c>
      <c r="G103" s="724">
        <f>IFERROR(ROUND(I103/H103,2),0)</f>
        <v>0</v>
      </c>
      <c r="H103" s="725">
        <f>ROUND(I103/50000,0)</f>
        <v>0</v>
      </c>
      <c r="I103" s="888">
        <f>SUMIFS(Титульный!$P$69:$P$292,Титульный!$L$69:$L$292,'119, 321, 323, 350, 851, 852'!M103,Титульный!$N$69:$N$292,'119, 321, 323, 350, 851, 852'!N103)</f>
        <v>0</v>
      </c>
      <c r="J103" s="743">
        <f>IFERROR(ROUND(L103/K103,2),0)</f>
        <v>0</v>
      </c>
      <c r="K103" s="725">
        <f>ROUND(L103/50000,0)</f>
        <v>0</v>
      </c>
      <c r="L103" s="883">
        <f>SUMIFS(Титульный!$Q$69:$Q$292,Титульный!$L$69:$L$292,'119, 321, 323, 350, 851, 852'!M103,Титульный!$N$69:$N$292,'119, 321, 323, 350, 851, 852'!N103)</f>
        <v>0</v>
      </c>
      <c r="M103" s="864">
        <v>350</v>
      </c>
      <c r="N103" s="864">
        <v>296</v>
      </c>
      <c r="Z103" s="137">
        <f t="shared" si="3"/>
        <v>0</v>
      </c>
    </row>
    <row r="104" spans="1:29" s="195" customFormat="1" ht="29.45" customHeight="1">
      <c r="A104" s="218"/>
      <c r="B104" s="216">
        <v>2</v>
      </c>
      <c r="C104" s="357"/>
      <c r="D104" s="723"/>
      <c r="E104" s="716"/>
      <c r="F104" s="722"/>
      <c r="G104" s="723"/>
      <c r="H104" s="716"/>
      <c r="I104" s="722"/>
      <c r="J104" s="721"/>
      <c r="K104" s="716"/>
      <c r="L104" s="722"/>
      <c r="M104" s="864"/>
      <c r="N104" s="864"/>
      <c r="Z104" s="137">
        <f t="shared" si="3"/>
        <v>0</v>
      </c>
    </row>
    <row r="105" spans="1:29" s="195" customFormat="1" ht="27.75" customHeight="1">
      <c r="A105" s="218"/>
      <c r="B105" s="216">
        <v>3</v>
      </c>
      <c r="C105" s="357"/>
      <c r="D105" s="723"/>
      <c r="E105" s="716"/>
      <c r="F105" s="722"/>
      <c r="G105" s="723"/>
      <c r="H105" s="716"/>
      <c r="I105" s="722"/>
      <c r="J105" s="721"/>
      <c r="K105" s="716"/>
      <c r="L105" s="722"/>
      <c r="M105" s="864"/>
      <c r="N105" s="864"/>
      <c r="Z105" s="137">
        <f t="shared" si="3"/>
        <v>0</v>
      </c>
    </row>
    <row r="106" spans="1:29" s="195" customFormat="1" ht="27.75" customHeight="1">
      <c r="A106" s="243"/>
      <c r="B106" s="252">
        <v>4</v>
      </c>
      <c r="C106" s="355"/>
      <c r="D106" s="726"/>
      <c r="E106" s="727"/>
      <c r="F106" s="1252"/>
      <c r="G106" s="1250"/>
      <c r="H106" s="1251"/>
      <c r="I106" s="1252"/>
      <c r="J106" s="1255"/>
      <c r="K106" s="1251"/>
      <c r="L106" s="1252"/>
      <c r="M106" s="864"/>
      <c r="N106" s="864"/>
      <c r="Z106" s="137">
        <f t="shared" si="3"/>
        <v>0</v>
      </c>
    </row>
    <row r="107" spans="1:29" s="195" customFormat="1" ht="27.75" customHeight="1">
      <c r="A107" s="223"/>
      <c r="B107" s="354"/>
      <c r="C107" s="356" t="s">
        <v>554</v>
      </c>
      <c r="D107" s="729" t="s">
        <v>412</v>
      </c>
      <c r="E107" s="730" t="s">
        <v>412</v>
      </c>
      <c r="F107" s="1260">
        <f>SUMIFS(Титульный!$O$69:$O$292,Титульный!$L$69:$L$292,'119, 321, 323, 350, 851, 852'!M107,Титульный!$N$69:$N$292,'119, 321, 323, 350, 851, 852'!N107)</f>
        <v>0</v>
      </c>
      <c r="G107" s="1253" t="s">
        <v>412</v>
      </c>
      <c r="H107" s="1254" t="s">
        <v>412</v>
      </c>
      <c r="I107" s="1260">
        <f>SUMIFS(Титульный!$P$69:$P$292,Титульный!$L$69:$L$292,'119, 321, 323, 350, 851, 852'!M107,Титульный!$N$69:$N$292,'119, 321, 323, 350, 851, 852'!N107)</f>
        <v>0</v>
      </c>
      <c r="J107" s="1256" t="s">
        <v>412</v>
      </c>
      <c r="K107" s="1254" t="s">
        <v>412</v>
      </c>
      <c r="L107" s="1261">
        <f>SUMIFS(Титульный!$Q$69:$Q$292,Титульный!$L$69:$L$292,'119, 321, 323, 350, 851, 852'!M107,Титульный!$N$69:$N$292,'119, 321, 323, 350, 851, 852'!N107)</f>
        <v>0</v>
      </c>
      <c r="M107" s="864">
        <v>350</v>
      </c>
      <c r="N107" s="864">
        <v>296</v>
      </c>
      <c r="Z107" s="137">
        <f t="shared" si="3"/>
        <v>0</v>
      </c>
    </row>
    <row r="108" spans="1:29" s="195" customFormat="1" ht="18.75">
      <c r="A108" s="121"/>
      <c r="B108" s="132"/>
      <c r="C108" s="121"/>
      <c r="D108" s="121"/>
      <c r="E108" s="121"/>
      <c r="F108" s="121"/>
      <c r="G108" s="121"/>
      <c r="H108" s="121"/>
      <c r="I108" s="121"/>
      <c r="J108" s="121"/>
      <c r="K108" s="121"/>
      <c r="L108" s="121"/>
      <c r="M108" s="864"/>
      <c r="N108" s="864"/>
      <c r="Z108" s="137">
        <f t="shared" si="3"/>
        <v>0</v>
      </c>
    </row>
    <row r="109" spans="1:29" s="195" customFormat="1" ht="18.75" hidden="1">
      <c r="A109" s="121"/>
      <c r="B109" s="132"/>
      <c r="C109" s="121"/>
      <c r="D109" s="121"/>
      <c r="E109" s="121"/>
      <c r="F109" s="121"/>
      <c r="G109" s="121"/>
      <c r="H109" s="121"/>
      <c r="I109" s="121"/>
      <c r="J109" s="121"/>
      <c r="K109" s="121"/>
      <c r="L109" s="121"/>
      <c r="M109" s="864"/>
      <c r="N109" s="864"/>
      <c r="Z109" s="137">
        <f t="shared" si="3"/>
        <v>0</v>
      </c>
    </row>
    <row r="110" spans="1:29" s="195" customFormat="1" ht="18.75" hidden="1">
      <c r="A110" s="121"/>
      <c r="B110" s="132"/>
      <c r="C110" s="121"/>
      <c r="D110" s="121"/>
      <c r="E110" s="121"/>
      <c r="F110" s="121"/>
      <c r="G110" s="121"/>
      <c r="H110" s="121"/>
      <c r="I110" s="121"/>
      <c r="J110" s="121"/>
      <c r="K110" s="121"/>
      <c r="L110" s="121"/>
      <c r="M110" s="864"/>
      <c r="N110" s="864"/>
      <c r="Z110" s="137">
        <f t="shared" si="3"/>
        <v>0</v>
      </c>
    </row>
    <row r="111" spans="1:29" s="215" customFormat="1" ht="36" customHeight="1">
      <c r="A111" s="1716" t="s">
        <v>713</v>
      </c>
      <c r="B111" s="1716"/>
      <c r="C111" s="1716"/>
      <c r="D111" s="1716"/>
      <c r="E111" s="1716"/>
      <c r="F111" s="1716"/>
      <c r="G111" s="1716"/>
      <c r="H111" s="1716"/>
      <c r="I111" s="1716"/>
      <c r="J111" s="1716"/>
      <c r="K111" s="1716"/>
      <c r="L111" s="1716"/>
      <c r="M111" s="855"/>
      <c r="N111" s="855"/>
      <c r="Z111" s="137">
        <f t="shared" si="3"/>
        <v>0</v>
      </c>
    </row>
    <row r="112" spans="1:29" s="119" customFormat="1" ht="18.75">
      <c r="B112" s="132"/>
      <c r="M112" s="864"/>
      <c r="N112" s="864"/>
      <c r="Z112" s="137">
        <f t="shared" si="3"/>
        <v>0</v>
      </c>
    </row>
    <row r="113" spans="1:29" s="119" customFormat="1" ht="34.5" customHeight="1">
      <c r="A113" s="1687" t="s">
        <v>541</v>
      </c>
      <c r="B113" s="1651" t="s">
        <v>430</v>
      </c>
      <c r="C113" s="1726" t="s">
        <v>553</v>
      </c>
      <c r="D113" s="1858" t="s">
        <v>1114</v>
      </c>
      <c r="E113" s="1859"/>
      <c r="F113" s="1860"/>
      <c r="G113" s="1856" t="s">
        <v>1121</v>
      </c>
      <c r="H113" s="1854"/>
      <c r="I113" s="1855"/>
      <c r="J113" s="1853" t="s">
        <v>1116</v>
      </c>
      <c r="K113" s="1854"/>
      <c r="L113" s="1855"/>
      <c r="M113" s="864"/>
      <c r="N113" s="864"/>
      <c r="Z113" s="137">
        <f t="shared" si="3"/>
        <v>0</v>
      </c>
      <c r="AA113" s="137">
        <f>SUM(F116:F119)-SUBTOTAL(109,F116:F119)</f>
        <v>0</v>
      </c>
      <c r="AB113" s="137">
        <f>SUM(I116:I119)-SUBTOTAL(109,I116:I119)</f>
        <v>0</v>
      </c>
      <c r="AC113" s="137">
        <f>SUM(L116:L119)-SUBTOTAL(109,L116:L119)</f>
        <v>0</v>
      </c>
    </row>
    <row r="114" spans="1:29" s="119" customFormat="1" ht="38.25">
      <c r="A114" s="1688"/>
      <c r="B114" s="1684"/>
      <c r="C114" s="1727"/>
      <c r="D114" s="315" t="s">
        <v>711</v>
      </c>
      <c r="E114" s="316" t="s">
        <v>712</v>
      </c>
      <c r="F114" s="317" t="s">
        <v>693</v>
      </c>
      <c r="G114" s="315" t="s">
        <v>711</v>
      </c>
      <c r="H114" s="316" t="s">
        <v>712</v>
      </c>
      <c r="I114" s="317" t="s">
        <v>693</v>
      </c>
      <c r="J114" s="315" t="s">
        <v>711</v>
      </c>
      <c r="K114" s="316" t="s">
        <v>712</v>
      </c>
      <c r="L114" s="317" t="s">
        <v>693</v>
      </c>
      <c r="M114" s="864"/>
      <c r="N114" s="864"/>
      <c r="Z114" s="137">
        <f t="shared" si="3"/>
        <v>0</v>
      </c>
    </row>
    <row r="115" spans="1:29" s="119" customFormat="1" ht="18.75">
      <c r="A115" s="153" t="s">
        <v>6</v>
      </c>
      <c r="B115" s="371" t="s">
        <v>7</v>
      </c>
      <c r="C115" s="375" t="s">
        <v>8</v>
      </c>
      <c r="D115" s="153" t="s">
        <v>9</v>
      </c>
      <c r="E115" s="202" t="s">
        <v>10</v>
      </c>
      <c r="F115" s="203" t="s">
        <v>497</v>
      </c>
      <c r="G115" s="153" t="s">
        <v>416</v>
      </c>
      <c r="H115" s="202" t="s">
        <v>415</v>
      </c>
      <c r="I115" s="203" t="s">
        <v>498</v>
      </c>
      <c r="J115" s="153" t="s">
        <v>413</v>
      </c>
      <c r="K115" s="202" t="s">
        <v>418</v>
      </c>
      <c r="L115" s="203" t="s">
        <v>499</v>
      </c>
      <c r="M115" s="864"/>
      <c r="N115" s="864"/>
      <c r="Z115" s="137">
        <f t="shared" si="3"/>
        <v>0</v>
      </c>
    </row>
    <row r="116" spans="1:29" s="119" customFormat="1" ht="32.450000000000003" customHeight="1">
      <c r="A116" s="225" t="s">
        <v>102</v>
      </c>
      <c r="B116" s="254" t="s">
        <v>6</v>
      </c>
      <c r="C116" s="307" t="s">
        <v>727</v>
      </c>
      <c r="D116" s="724">
        <f>IFERROR(ROUND(F116/E116,2),0)</f>
        <v>0</v>
      </c>
      <c r="E116" s="725">
        <f>ROUNDUP(F116/30000,0)</f>
        <v>0</v>
      </c>
      <c r="F116" s="735">
        <f>SUMIFS(Титульный!$O$69:$O$292,Титульный!$L$69:$L$292,'119, 321, 323, 350, 851, 852'!M116,Титульный!$N$69:$N$292,'119, 321, 323, 350, 851, 852'!N116)</f>
        <v>0</v>
      </c>
      <c r="G116" s="724">
        <f>IFERROR(ROUND(I116/H116,2),0)</f>
        <v>0</v>
      </c>
      <c r="H116" s="725">
        <f>ROUNDUP(I116/30000,0)</f>
        <v>0</v>
      </c>
      <c r="I116" s="735">
        <f>SUMIFS(Титульный!$P$69:$P$292,Титульный!$L$69:$L$292,'119, 321, 323, 350, 851, 852'!M116,Титульный!$N$69:$N$292,'119, 321, 323, 350, 851, 852'!N116)</f>
        <v>0</v>
      </c>
      <c r="J116" s="743">
        <f>IFERROR(ROUND(L116/K116,2),0)</f>
        <v>0</v>
      </c>
      <c r="K116" s="725">
        <f>ROUNDUP(L116/30000,0)</f>
        <v>0</v>
      </c>
      <c r="L116" s="735">
        <f>SUMIFS(Титульный!$Q$69:$Q$292,Титульный!$L$69:$L$292,'119, 321, 323, 350, 851, 852'!M116,Титульный!$N$69:$N$292,'119, 321, 323, 350, 851, 852'!N116)</f>
        <v>0</v>
      </c>
      <c r="M116" s="864">
        <v>853</v>
      </c>
      <c r="N116" s="864">
        <v>292</v>
      </c>
      <c r="Z116" s="137">
        <f t="shared" si="3"/>
        <v>0</v>
      </c>
    </row>
    <row r="117" spans="1:29" s="119" customFormat="1" ht="79.900000000000006" customHeight="1">
      <c r="A117" s="218" t="s">
        <v>102</v>
      </c>
      <c r="B117" s="216">
        <v>2</v>
      </c>
      <c r="C117" s="308" t="s">
        <v>737</v>
      </c>
      <c r="D117" s="723">
        <f>IFERROR(ROUND(F117/E117,2),0)</f>
        <v>1000</v>
      </c>
      <c r="E117" s="716">
        <f>ROUNDUP(F117/1000,0)</f>
        <v>30</v>
      </c>
      <c r="F117" s="722">
        <f>SUMIFS(Титульный!$O$69:$O$292,Титульный!$L$69:$L$292,'119, 321, 323, 350, 851, 852'!M117,Титульный!$N$69:$N$292,'119, 321, 323, 350, 851, 852'!N117)</f>
        <v>30000</v>
      </c>
      <c r="G117" s="723">
        <f>IFERROR(ROUND(I117/H117,2),0)</f>
        <v>0</v>
      </c>
      <c r="H117" s="716">
        <f>ROUNDUP(I117/1000,0)</f>
        <v>0</v>
      </c>
      <c r="I117" s="722">
        <f>SUMIFS(Титульный!$P$69:$P$292,Титульный!$L$69:$L$292,'119, 321, 323, 350, 851, 852'!M117,Титульный!$N$69:$N$292,'119, 321, 323, 350, 851, 852'!N117)</f>
        <v>0</v>
      </c>
      <c r="J117" s="721">
        <f>IFERROR(ROUND(L117/K117,2),0)</f>
        <v>0</v>
      </c>
      <c r="K117" s="716">
        <f>ROUNDUP(L117/1000,0)</f>
        <v>0</v>
      </c>
      <c r="L117" s="722">
        <f>SUMIFS(Титульный!$Q$69:$Q$292,Титульный!$L$69:$L$292,'119, 321, 323, 350, 851, 852'!M117,Титульный!$N$69:$N$292,'119, 321, 323, 350, 851, 852'!N117)</f>
        <v>0</v>
      </c>
      <c r="M117" s="864">
        <v>853</v>
      </c>
      <c r="N117" s="864">
        <v>293</v>
      </c>
      <c r="Z117" s="137">
        <f t="shared" si="3"/>
        <v>0</v>
      </c>
    </row>
    <row r="118" spans="1:29" s="130" customFormat="1" ht="32.450000000000003" customHeight="1">
      <c r="A118" s="218" t="s">
        <v>102</v>
      </c>
      <c r="B118" s="216">
        <v>3</v>
      </c>
      <c r="C118" s="308" t="s">
        <v>690</v>
      </c>
      <c r="D118" s="723">
        <f>IFERROR(ROUND(F118/E118,2),0)</f>
        <v>0</v>
      </c>
      <c r="E118" s="716">
        <f>ROUNDUP(F118/30000,0)</f>
        <v>0</v>
      </c>
      <c r="F118" s="722">
        <f>SUMIFS(Титульный!$O$69:$O$292,Титульный!$L$69:$L$292,'119, 321, 323, 350, 851, 852'!M118,Титульный!$N$69:$N$292,'119, 321, 323, 350, 851, 852'!N118)</f>
        <v>0</v>
      </c>
      <c r="G118" s="723">
        <f>IFERROR(ROUND(I118/H118,2),0)</f>
        <v>0</v>
      </c>
      <c r="H118" s="716">
        <f>ROUNDUP(I118/30000,0)</f>
        <v>0</v>
      </c>
      <c r="I118" s="722">
        <f>SUMIFS(Титульный!$P$69:$P$292,Титульный!$L$69:$L$292,'119, 321, 323, 350, 851, 852'!M118,Титульный!$N$69:$N$292,'119, 321, 323, 350, 851, 852'!N118)</f>
        <v>0</v>
      </c>
      <c r="J118" s="721">
        <f>IFERROR(ROUND(L118/K118,2),0)</f>
        <v>0</v>
      </c>
      <c r="K118" s="716">
        <f>ROUNDUP(L118/30000,0)</f>
        <v>0</v>
      </c>
      <c r="L118" s="722">
        <f>SUMIFS(Титульный!$Q$69:$Q$292,Титульный!$L$69:$L$292,'119, 321, 323, 350, 851, 852'!M118,Титульный!$N$69:$N$292,'119, 321, 323, 350, 851, 852'!N118)</f>
        <v>0</v>
      </c>
      <c r="M118" s="864">
        <v>853</v>
      </c>
      <c r="N118" s="864">
        <v>295</v>
      </c>
      <c r="Z118" s="137">
        <f t="shared" si="3"/>
        <v>0</v>
      </c>
    </row>
    <row r="119" spans="1:29" s="119" customFormat="1" ht="32.450000000000003" customHeight="1">
      <c r="A119" s="243" t="s">
        <v>102</v>
      </c>
      <c r="B119" s="252">
        <v>4</v>
      </c>
      <c r="C119" s="309" t="s">
        <v>738</v>
      </c>
      <c r="D119" s="726">
        <f>IFERROR(ROUND(F119/E119,2),0)</f>
        <v>0</v>
      </c>
      <c r="E119" s="727">
        <f>ROUNDUP(F119/40,0)</f>
        <v>0</v>
      </c>
      <c r="F119" s="728">
        <f>SUMIFS(Титульный!$O$69:$O$292,Титульный!$L$69:$L$292,'119, 321, 323, 350, 851, 852'!M119,Титульный!$N$69:$N$292,'119, 321, 323, 350, 851, 852'!N119)</f>
        <v>0</v>
      </c>
      <c r="G119" s="726">
        <f>IFERROR(ROUND(I119/H119,2),0)</f>
        <v>0</v>
      </c>
      <c r="H119" s="727">
        <f>ROUNDUP(I119/40,0)</f>
        <v>0</v>
      </c>
      <c r="I119" s="728">
        <f>SUMIFS(Титульный!$P$69:$P$292,Титульный!$L$69:$L$292,'119, 321, 323, 350, 851, 852'!M119,Титульный!$N$69:$N$292,'119, 321, 323, 350, 851, 852'!N119)</f>
        <v>0</v>
      </c>
      <c r="J119" s="732">
        <f>IFERROR(ROUND(L119/K119,2),0)</f>
        <v>0</v>
      </c>
      <c r="K119" s="727">
        <f>ROUNDUP(L119/40,0)</f>
        <v>0</v>
      </c>
      <c r="L119" s="728">
        <f>SUMIFS(Титульный!$Q$69:$Q$292,Титульный!$L$69:$L$292,'119, 321, 323, 350, 851, 852'!M119,Титульный!$N$69:$N$292,'119, 321, 323, 350, 851, 852'!N119)</f>
        <v>0</v>
      </c>
      <c r="M119" s="864">
        <v>853</v>
      </c>
      <c r="N119" s="864">
        <v>296</v>
      </c>
      <c r="Z119" s="137">
        <f t="shared" si="3"/>
        <v>0</v>
      </c>
    </row>
    <row r="120" spans="1:29" s="119" customFormat="1" ht="27.75" customHeight="1">
      <c r="A120" s="223"/>
      <c r="B120" s="224"/>
      <c r="C120" s="311" t="s">
        <v>554</v>
      </c>
      <c r="D120" s="729" t="s">
        <v>412</v>
      </c>
      <c r="E120" s="730" t="s">
        <v>412</v>
      </c>
      <c r="F120" s="731">
        <f>SUM(F116:F119)</f>
        <v>30000</v>
      </c>
      <c r="G120" s="729" t="s">
        <v>412</v>
      </c>
      <c r="H120" s="730" t="s">
        <v>412</v>
      </c>
      <c r="I120" s="731">
        <f>SUM(I116:I119)</f>
        <v>0</v>
      </c>
      <c r="J120" s="733" t="s">
        <v>412</v>
      </c>
      <c r="K120" s="730" t="s">
        <v>412</v>
      </c>
      <c r="L120" s="731">
        <f>SUM(L116:L119)</f>
        <v>0</v>
      </c>
      <c r="M120" s="864"/>
      <c r="N120" s="864"/>
      <c r="Z120" s="137">
        <f t="shared" si="3"/>
        <v>0</v>
      </c>
    </row>
    <row r="121" spans="1:29" s="119" customFormat="1" ht="18.75" hidden="1">
      <c r="B121" s="132"/>
      <c r="M121" s="864"/>
      <c r="N121" s="864"/>
      <c r="Z121" s="137">
        <f t="shared" si="3"/>
        <v>0</v>
      </c>
    </row>
    <row r="122" spans="1:29" s="215" customFormat="1" ht="36" hidden="1" customHeight="1">
      <c r="A122" s="1643" t="s">
        <v>714</v>
      </c>
      <c r="B122" s="1643"/>
      <c r="C122" s="1643"/>
      <c r="D122" s="1643"/>
      <c r="E122" s="1643"/>
      <c r="F122" s="1643"/>
      <c r="G122" s="1643"/>
      <c r="H122" s="1643"/>
      <c r="I122" s="1643"/>
      <c r="J122" s="1643"/>
      <c r="K122" s="1643"/>
      <c r="L122" s="1643"/>
      <c r="M122" s="855"/>
      <c r="N122" s="855"/>
      <c r="Z122" s="137">
        <f t="shared" si="3"/>
        <v>0</v>
      </c>
    </row>
    <row r="123" spans="1:29" s="119" customFormat="1" ht="18.75" hidden="1">
      <c r="B123" s="132"/>
      <c r="M123" s="864"/>
      <c r="N123" s="864"/>
      <c r="Z123" s="137">
        <f t="shared" si="3"/>
        <v>0</v>
      </c>
    </row>
    <row r="124" spans="1:29" s="119" customFormat="1" ht="18.75" hidden="1">
      <c r="A124" s="1687" t="s">
        <v>541</v>
      </c>
      <c r="B124" s="1651" t="s">
        <v>430</v>
      </c>
      <c r="C124" s="1812" t="s">
        <v>553</v>
      </c>
      <c r="D124" s="1850" t="s">
        <v>693</v>
      </c>
      <c r="E124" s="1850"/>
      <c r="F124" s="1850"/>
      <c r="G124" s="1850"/>
      <c r="H124" s="1850"/>
      <c r="I124" s="1850"/>
      <c r="J124" s="1850"/>
      <c r="K124" s="1850"/>
      <c r="L124" s="1851"/>
      <c r="M124" s="864"/>
      <c r="N124" s="864"/>
      <c r="Z124" s="137">
        <f t="shared" si="3"/>
        <v>0</v>
      </c>
      <c r="AA124" s="137">
        <f>SUM(D127:D130)-SUBTOTAL(109,D127:D130)</f>
        <v>0</v>
      </c>
      <c r="AB124" s="137">
        <f>SUM(G127:G130)-SUBTOTAL(109,G127:G130)</f>
        <v>0</v>
      </c>
      <c r="AC124" s="137">
        <f>SUM(J127:J130)-SUBTOTAL(109,J127:J130)</f>
        <v>0</v>
      </c>
    </row>
    <row r="125" spans="1:29" s="119" customFormat="1" ht="33.75" hidden="1" customHeight="1">
      <c r="A125" s="1688"/>
      <c r="B125" s="1684"/>
      <c r="C125" s="1857"/>
      <c r="D125" s="1867" t="s">
        <v>1090</v>
      </c>
      <c r="E125" s="1867"/>
      <c r="F125" s="1867"/>
      <c r="G125" s="1865" t="s">
        <v>1085</v>
      </c>
      <c r="H125" s="1865"/>
      <c r="I125" s="1865"/>
      <c r="J125" s="1865" t="s">
        <v>1083</v>
      </c>
      <c r="K125" s="1865"/>
      <c r="L125" s="1866"/>
      <c r="M125" s="864"/>
      <c r="N125" s="864"/>
      <c r="Z125" s="137">
        <f t="shared" si="3"/>
        <v>0</v>
      </c>
    </row>
    <row r="126" spans="1:29" s="144" customFormat="1" ht="18.75" hidden="1">
      <c r="A126" s="153" t="s">
        <v>6</v>
      </c>
      <c r="B126" s="371" t="s">
        <v>7</v>
      </c>
      <c r="C126" s="202" t="s">
        <v>8</v>
      </c>
      <c r="D126" s="1868">
        <v>4</v>
      </c>
      <c r="E126" s="1868"/>
      <c r="F126" s="1868"/>
      <c r="G126" s="1760">
        <v>5</v>
      </c>
      <c r="H126" s="1760"/>
      <c r="I126" s="1760"/>
      <c r="J126" s="1760">
        <v>6</v>
      </c>
      <c r="K126" s="1760"/>
      <c r="L126" s="1761"/>
      <c r="M126" s="864"/>
      <c r="N126" s="864"/>
      <c r="Z126" s="137">
        <f t="shared" si="3"/>
        <v>0</v>
      </c>
    </row>
    <row r="127" spans="1:29" s="119" customFormat="1" ht="27.75" hidden="1" customHeight="1">
      <c r="A127" s="236" t="s">
        <v>117</v>
      </c>
      <c r="B127" s="241" t="s">
        <v>6</v>
      </c>
      <c r="C127" s="237" t="s">
        <v>385</v>
      </c>
      <c r="D127" s="1869">
        <f>SUMIFS(Титульный!$O$69:$O$292,Титульный!$L$69:$L$292,'119, 321, 323, 350, 851, 852'!M127,Титульный!$N$69:$N$292,'119, 321, 323, 350, 851, 852'!N127)</f>
        <v>0</v>
      </c>
      <c r="E127" s="1869"/>
      <c r="F127" s="1869"/>
      <c r="G127" s="1869">
        <f>SUMIFS(Титульный!$P$69:$P$292,Титульный!$L$69:$L$292,'119, 321, 323, 350, 851, 852'!M127,Титульный!$N$69:$N$292,'119, 321, 323, 350, 851, 852'!N127)</f>
        <v>0</v>
      </c>
      <c r="H127" s="1869"/>
      <c r="I127" s="1869"/>
      <c r="J127" s="1869">
        <f>SUMIFS(Титульный!$Q$69:$Q$292,Титульный!$L$69:$L$292,'119, 321, 323, 350, 851, 852'!M127,Титульный!$N$69:$N$292,'119, 321, 323, 350, 851, 852'!N127)</f>
        <v>0</v>
      </c>
      <c r="K127" s="1869"/>
      <c r="L127" s="1870"/>
      <c r="M127" s="864">
        <v>831</v>
      </c>
      <c r="N127" s="864">
        <v>295</v>
      </c>
      <c r="Z127" s="137">
        <f t="shared" si="3"/>
        <v>0</v>
      </c>
    </row>
    <row r="128" spans="1:29" s="195" customFormat="1" ht="27.75" hidden="1" customHeight="1">
      <c r="A128" s="236" t="s">
        <v>117</v>
      </c>
      <c r="B128" s="241" t="s">
        <v>6</v>
      </c>
      <c r="C128" s="856" t="s">
        <v>751</v>
      </c>
      <c r="D128" s="1876">
        <f>SUMIFS(Титульный!$O$69:$O$292,Титульный!$L$69:$L$292,'119, 321, 323, 350, 851, 852'!M128,Титульный!$N$69:$N$292,'119, 321, 323, 350, 851, 852'!N128)</f>
        <v>0</v>
      </c>
      <c r="E128" s="1877"/>
      <c r="F128" s="1878"/>
      <c r="G128" s="1876">
        <f>SUMIFS(Титульный!$P$69:$P$292,Титульный!$L$69:$L$292,'119, 321, 323, 350, 851, 852'!M128,Титульный!$N$69:$N$292,'119, 321, 323, 350, 851, 852'!N128)</f>
        <v>0</v>
      </c>
      <c r="H128" s="1877"/>
      <c r="I128" s="1878"/>
      <c r="J128" s="1876">
        <f>SUMIFS(Титульный!$Q$69:$Q$292,Титульный!$L$69:$L$292,'119, 321, 323, 350, 851, 852'!M128,Титульный!$N$69:$N$292,'119, 321, 323, 350, 851, 852'!N128)</f>
        <v>0</v>
      </c>
      <c r="K128" s="1877"/>
      <c r="L128" s="1879"/>
      <c r="M128" s="864">
        <v>831</v>
      </c>
      <c r="N128" s="864">
        <v>293</v>
      </c>
      <c r="Z128" s="137"/>
    </row>
    <row r="129" spans="1:26" s="195" customFormat="1" ht="27.75" hidden="1" customHeight="1">
      <c r="A129" s="236" t="s">
        <v>117</v>
      </c>
      <c r="B129" s="241" t="s">
        <v>6</v>
      </c>
      <c r="C129" s="856" t="s">
        <v>752</v>
      </c>
      <c r="D129" s="1876">
        <f>SUMIFS(Титульный!$O$69:$O$292,Титульный!$L$69:$L$292,'119, 321, 323, 350, 851, 852'!M129,Титульный!$N$69:$N$292,'119, 321, 323, 350, 851, 852'!N129)</f>
        <v>0</v>
      </c>
      <c r="E129" s="1877"/>
      <c r="F129" s="1878"/>
      <c r="G129" s="1876">
        <f>SUMIFS(Титульный!$P$69:$P$292,Титульный!$L$69:$L$292,'119, 321, 323, 350, 851, 852'!M129,Титульный!$N$69:$N$292,'119, 321, 323, 350, 851, 852'!N129)</f>
        <v>0</v>
      </c>
      <c r="H129" s="1877"/>
      <c r="I129" s="1878"/>
      <c r="J129" s="1876">
        <f>SUMIFS(Титульный!$Q$69:$Q$292,Титульный!$L$69:$L$292,'119, 321, 323, 350, 851, 852'!M129,Титульный!$N$69:$N$292,'119, 321, 323, 350, 851, 852'!N129)</f>
        <v>0</v>
      </c>
      <c r="K129" s="1877"/>
      <c r="L129" s="1879"/>
      <c r="M129" s="864">
        <v>831</v>
      </c>
      <c r="N129" s="864">
        <v>297</v>
      </c>
      <c r="Z129" s="137"/>
    </row>
    <row r="130" spans="1:26" s="119" customFormat="1" ht="27.75" hidden="1" customHeight="1">
      <c r="A130" s="222" t="s">
        <v>117</v>
      </c>
      <c r="B130" s="220">
        <v>2</v>
      </c>
      <c r="C130" s="891" t="s">
        <v>386</v>
      </c>
      <c r="D130" s="1871">
        <f>SUMIFS(Титульный!$O$69:$O$292,Титульный!$L$69:$L$292,'119, 321, 323, 350, 851, 852'!M130,Титульный!$N$69:$N$292,'119, 321, 323, 350, 851, 852'!N130)</f>
        <v>0</v>
      </c>
      <c r="E130" s="1872"/>
      <c r="F130" s="1875"/>
      <c r="G130" s="1871">
        <f>SUMIFS(Титульный!$P$69:$P$292,Титульный!$L$69:$L$292,'119, 321, 323, 350, 851, 852'!M130,Титульный!$N$69:$N$292,'119, 321, 323, 350, 851, 852'!N130)</f>
        <v>0</v>
      </c>
      <c r="H130" s="1872"/>
      <c r="I130" s="1875"/>
      <c r="J130" s="1871">
        <f>SUMIFS(Титульный!$Q$69:$Q$292,Титульный!$L$69:$L$292,'119, 321, 323, 350, 851, 852'!M130,Титульный!$N$69:$N$292,'119, 321, 323, 350, 851, 852'!N130)</f>
        <v>0</v>
      </c>
      <c r="K130" s="1872"/>
      <c r="L130" s="1873"/>
      <c r="M130" s="864">
        <v>831</v>
      </c>
      <c r="N130" s="864">
        <v>296</v>
      </c>
      <c r="Z130" s="137">
        <f>SUM(AA130:AR130)</f>
        <v>0</v>
      </c>
    </row>
    <row r="131" spans="1:26" s="119" customFormat="1" ht="27.75" hidden="1" customHeight="1">
      <c r="A131" s="892"/>
      <c r="B131" s="893"/>
      <c r="C131" s="894" t="s">
        <v>554</v>
      </c>
      <c r="D131" s="1864">
        <f>SUM(D127:F130)</f>
        <v>0</v>
      </c>
      <c r="E131" s="1864"/>
      <c r="F131" s="1864"/>
      <c r="G131" s="1864">
        <f>SUM(G127:I130)</f>
        <v>0</v>
      </c>
      <c r="H131" s="1864"/>
      <c r="I131" s="1864"/>
      <c r="J131" s="1864">
        <f>SUM(J127:L130)</f>
        <v>0</v>
      </c>
      <c r="K131" s="1864"/>
      <c r="L131" s="1874"/>
      <c r="M131" s="864"/>
      <c r="N131" s="864"/>
      <c r="Z131" s="137">
        <f>SUM(AA131:AR131)</f>
        <v>0</v>
      </c>
    </row>
  </sheetData>
  <mergeCells count="86">
    <mergeCell ref="D128:F128"/>
    <mergeCell ref="G128:I128"/>
    <mergeCell ref="J128:L128"/>
    <mergeCell ref="D129:F129"/>
    <mergeCell ref="G129:I129"/>
    <mergeCell ref="J129:L129"/>
    <mergeCell ref="A55:L55"/>
    <mergeCell ref="A44:L44"/>
    <mergeCell ref="A46:A47"/>
    <mergeCell ref="B46:B47"/>
    <mergeCell ref="C46:C47"/>
    <mergeCell ref="D46:F46"/>
    <mergeCell ref="G46:I46"/>
    <mergeCell ref="J46:L46"/>
    <mergeCell ref="A74:L74"/>
    <mergeCell ref="A76:L76"/>
    <mergeCell ref="A78:L78"/>
    <mergeCell ref="A89:K89"/>
    <mergeCell ref="A111:L111"/>
    <mergeCell ref="J91:L91"/>
    <mergeCell ref="A80:A81"/>
    <mergeCell ref="B80:B81"/>
    <mergeCell ref="C80:C81"/>
    <mergeCell ref="D80:F80"/>
    <mergeCell ref="G80:I80"/>
    <mergeCell ref="J80:L80"/>
    <mergeCell ref="A91:A92"/>
    <mergeCell ref="B91:B92"/>
    <mergeCell ref="C91:C92"/>
    <mergeCell ref="D91:F91"/>
    <mergeCell ref="G131:I131"/>
    <mergeCell ref="J125:L125"/>
    <mergeCell ref="G125:I125"/>
    <mergeCell ref="D124:L124"/>
    <mergeCell ref="D125:F125"/>
    <mergeCell ref="D126:F126"/>
    <mergeCell ref="G126:I126"/>
    <mergeCell ref="J126:L126"/>
    <mergeCell ref="J127:L127"/>
    <mergeCell ref="J130:L130"/>
    <mergeCell ref="J131:L131"/>
    <mergeCell ref="D127:F127"/>
    <mergeCell ref="D130:F130"/>
    <mergeCell ref="D131:F131"/>
    <mergeCell ref="G127:I127"/>
    <mergeCell ref="G130:I130"/>
    <mergeCell ref="A1:L1"/>
    <mergeCell ref="A2:L2"/>
    <mergeCell ref="A4:A5"/>
    <mergeCell ref="B4:B5"/>
    <mergeCell ref="C4:C5"/>
    <mergeCell ref="D4:F4"/>
    <mergeCell ref="G4:I4"/>
    <mergeCell ref="J4:L4"/>
    <mergeCell ref="G100:I100"/>
    <mergeCell ref="J62:L62"/>
    <mergeCell ref="A22:L22"/>
    <mergeCell ref="A24:A25"/>
    <mergeCell ref="B24:B25"/>
    <mergeCell ref="C24:C25"/>
    <mergeCell ref="D24:F24"/>
    <mergeCell ref="G24:I24"/>
    <mergeCell ref="J24:L24"/>
    <mergeCell ref="A62:A63"/>
    <mergeCell ref="B62:B63"/>
    <mergeCell ref="C62:C63"/>
    <mergeCell ref="D62:F62"/>
    <mergeCell ref="G62:I62"/>
    <mergeCell ref="A40:L40"/>
    <mergeCell ref="A60:L60"/>
    <mergeCell ref="J100:L100"/>
    <mergeCell ref="G91:I91"/>
    <mergeCell ref="G113:I113"/>
    <mergeCell ref="J113:L113"/>
    <mergeCell ref="A124:A125"/>
    <mergeCell ref="B124:B125"/>
    <mergeCell ref="C124:C125"/>
    <mergeCell ref="A113:A114"/>
    <mergeCell ref="B113:B114"/>
    <mergeCell ref="C113:C114"/>
    <mergeCell ref="D113:F113"/>
    <mergeCell ref="A122:L122"/>
    <mergeCell ref="A100:A101"/>
    <mergeCell ref="B100:B101"/>
    <mergeCell ref="C100:C101"/>
    <mergeCell ref="D100:F100"/>
  </mergeCells>
  <conditionalFormatting sqref="A4:XFD17 P65:XFD67 P49:XFD50 A49:L50 A55:XFD64 A54:L54 O54:XFD54 A65:L67 O83:XFD84 A83:L84 A51:XFD53 A18:C18 P18:XFD18 P38:XFD39 A19:XFD37 A40:XFD48 A68:XFD82 A85:XFD131">
    <cfRule type="expression" dxfId="47" priority="592">
      <formula>Z4&gt;0</formula>
    </cfRule>
  </conditionalFormatting>
  <conditionalFormatting sqref="D7:L17 D116:L120 D27:L37 D65:L70 D83:L85 D94:L96 D103:L107 D127:L131 D49:L53">
    <cfRule type="cellIs" dxfId="46" priority="548" operator="lessThan">
      <formula>0</formula>
    </cfRule>
  </conditionalFormatting>
  <conditionalFormatting sqref="M54 M83:M84">
    <cfRule type="expression" dxfId="45" priority="525">
      <formula>AM54&gt;0</formula>
    </cfRule>
  </conditionalFormatting>
  <conditionalFormatting sqref="M18:O18">
    <cfRule type="expression" dxfId="44" priority="19">
      <formula>AL18&gt;0</formula>
    </cfRule>
  </conditionalFormatting>
  <conditionalFormatting sqref="D18:L18">
    <cfRule type="expression" dxfId="43" priority="16">
      <formula>AC18&gt;0</formula>
    </cfRule>
  </conditionalFormatting>
  <conditionalFormatting sqref="D18:L18">
    <cfRule type="cellIs" dxfId="42" priority="15" operator="lessThan">
      <formula>0</formula>
    </cfRule>
  </conditionalFormatting>
  <conditionalFormatting sqref="A38:C38 A39:N39">
    <cfRule type="expression" dxfId="41" priority="14">
      <formula>Z38&gt;0</formula>
    </cfRule>
  </conditionalFormatting>
  <conditionalFormatting sqref="D38:N38">
    <cfRule type="expression" dxfId="40" priority="6">
      <formula>AC38&gt;0</formula>
    </cfRule>
  </conditionalFormatting>
  <conditionalFormatting sqref="D38:L38">
    <cfRule type="cellIs" dxfId="39" priority="4" operator="lessThan">
      <formula>0</formula>
    </cfRule>
  </conditionalFormatting>
  <conditionalFormatting sqref="O38:O39">
    <cfRule type="expression" dxfId="38" priority="3">
      <formula>AN38&gt;0</formula>
    </cfRule>
  </conditionalFormatting>
  <pageMargins left="0.19685039370078741" right="0.19685039370078741" top="0.74803149606299213" bottom="0.19685039370078741" header="0.31496062992125984" footer="0.31496062992125984"/>
  <pageSetup paperSize="9" scale="59" fitToHeight="4" orientation="landscape" r:id="rId1"/>
  <rowBreaks count="4" manualBreakCount="4">
    <brk id="21" max="11" man="1"/>
    <brk id="43" max="11" man="1"/>
    <brk id="88" max="11" man="1"/>
    <brk id="120" max="11" man="1"/>
  </rowBreaks>
  <extLst>
    <ext xmlns:x14="http://schemas.microsoft.com/office/spreadsheetml/2009/9/main" uri="{78C0D931-6437-407d-A8EE-F0AAD7539E65}">
      <x14:conditionalFormattings>
        <x14:conditionalFormatting xmlns:xm="http://schemas.microsoft.com/office/excel/2006/main">
          <x14:cfRule type="expression" priority="1" stopIfTrue="1" id="{3BC27BA8-FEE2-4684-9A88-750F1C071990}">
            <xm:f>Титульный!$Z$1="скрыть"</xm:f>
            <x14:dxf>
              <fill>
                <patternFill patternType="none">
                  <bgColor auto="1"/>
                </patternFill>
              </fill>
            </x14:dxf>
          </x14:cfRule>
          <xm:sqref>A1:L1048576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Лист10">
    <tabColor theme="8" tint="0.59999389629810485"/>
  </sheetPr>
  <dimension ref="A1:AC192"/>
  <sheetViews>
    <sheetView view="pageBreakPreview" topLeftCell="A165" zoomScale="85" zoomScaleNormal="85" zoomScaleSheetLayoutView="85" workbookViewId="0">
      <selection activeCell="A166" sqref="A166:XFD167"/>
    </sheetView>
  </sheetViews>
  <sheetFormatPr defaultRowHeight="15.75"/>
  <cols>
    <col min="1" max="1" width="11.28515625" customWidth="1"/>
    <col min="2" max="2" width="4.85546875" style="257" customWidth="1"/>
    <col min="3" max="3" width="41.140625" customWidth="1"/>
    <col min="4" max="4" width="12.42578125" customWidth="1"/>
    <col min="5" max="16" width="12.7109375" customWidth="1"/>
    <col min="17" max="19" width="9.140625" style="274"/>
    <col min="20" max="20" width="9.140625" style="148"/>
  </cols>
  <sheetData>
    <row r="1" spans="1:29" s="215" customFormat="1" ht="27.75" customHeight="1">
      <c r="A1" s="1927" t="s">
        <v>614</v>
      </c>
      <c r="B1" s="1927"/>
      <c r="C1" s="1927"/>
      <c r="D1" s="1927"/>
      <c r="E1" s="1927"/>
      <c r="F1" s="1927"/>
      <c r="G1" s="1927"/>
      <c r="H1" s="1927"/>
      <c r="I1" s="1927"/>
      <c r="J1" s="1927"/>
      <c r="K1" s="1927"/>
      <c r="L1" s="1927"/>
      <c r="M1" s="1927"/>
      <c r="N1" s="1927"/>
      <c r="O1" s="1927"/>
      <c r="P1" s="1927"/>
      <c r="Q1" s="266"/>
      <c r="R1" s="266"/>
      <c r="S1" s="266"/>
      <c r="T1" s="214"/>
    </row>
    <row r="2" spans="1:29" s="215" customFormat="1" ht="27.75" customHeight="1">
      <c r="A2" s="1776" t="s">
        <v>556</v>
      </c>
      <c r="B2" s="1776"/>
      <c r="C2" s="1776"/>
      <c r="D2" s="1776"/>
      <c r="E2" s="1776"/>
      <c r="F2" s="1776"/>
      <c r="G2" s="1776"/>
      <c r="H2" s="1776"/>
      <c r="I2" s="1776"/>
      <c r="J2" s="1776"/>
      <c r="K2" s="1776"/>
      <c r="L2" s="1776"/>
      <c r="M2" s="1776"/>
      <c r="N2" s="1776"/>
      <c r="O2" s="1776"/>
      <c r="P2" s="1776"/>
      <c r="Q2" s="266"/>
      <c r="R2" s="266"/>
      <c r="S2" s="266"/>
      <c r="T2" s="214"/>
    </row>
    <row r="3" spans="1:29" s="215" customFormat="1" ht="27.75" customHeight="1">
      <c r="A3" s="1643" t="s">
        <v>557</v>
      </c>
      <c r="B3" s="1643"/>
      <c r="C3" s="1643"/>
      <c r="D3" s="1643"/>
      <c r="E3" s="1643"/>
      <c r="F3" s="1643"/>
      <c r="G3" s="1643"/>
      <c r="H3" s="1643"/>
      <c r="I3" s="1643"/>
      <c r="J3" s="1643"/>
      <c r="K3" s="1643"/>
      <c r="L3" s="1643"/>
      <c r="M3" s="1643"/>
      <c r="N3" s="1643"/>
      <c r="O3" s="1643"/>
      <c r="P3" s="1643"/>
      <c r="Q3" s="266"/>
      <c r="R3" s="266"/>
      <c r="S3" s="266"/>
      <c r="T3" s="214"/>
    </row>
    <row r="4" spans="1:29" s="119" customFormat="1" ht="12" customHeight="1">
      <c r="B4" s="256"/>
      <c r="P4" s="143"/>
      <c r="Q4" s="272"/>
      <c r="R4" s="272"/>
      <c r="S4" s="272"/>
      <c r="T4" s="146"/>
    </row>
    <row r="5" spans="1:29" s="119" customFormat="1" ht="33.75" customHeight="1">
      <c r="A5" s="1687" t="s">
        <v>541</v>
      </c>
      <c r="B5" s="1651" t="s">
        <v>430</v>
      </c>
      <c r="C5" s="1928" t="s">
        <v>553</v>
      </c>
      <c r="D5" s="1929"/>
      <c r="E5" s="1858" t="s">
        <v>1114</v>
      </c>
      <c r="F5" s="1859"/>
      <c r="G5" s="1859"/>
      <c r="H5" s="1887"/>
      <c r="I5" s="1856" t="s">
        <v>1115</v>
      </c>
      <c r="J5" s="1854"/>
      <c r="K5" s="1854"/>
      <c r="L5" s="1855"/>
      <c r="M5" s="1853" t="s">
        <v>1116</v>
      </c>
      <c r="N5" s="1854"/>
      <c r="O5" s="1854"/>
      <c r="P5" s="1855"/>
      <c r="Q5" s="272"/>
      <c r="R5" s="272"/>
      <c r="S5" s="272"/>
      <c r="T5" s="146"/>
      <c r="Z5" s="137">
        <f t="shared" ref="Z5:Z36" si="0">SUM(AA5:AW5)</f>
        <v>0</v>
      </c>
      <c r="AA5" s="137">
        <f>SUM(H8:H12)-SUBTOTAL(109,H8:H12)</f>
        <v>0</v>
      </c>
      <c r="AB5" s="137">
        <f>SUM(L8:L12)-SUBTOTAL(109,L8:L12)</f>
        <v>0</v>
      </c>
      <c r="AC5" s="137">
        <f>SUM(P8:P12)-SUBTOTAL(109,P8:P12)</f>
        <v>0</v>
      </c>
    </row>
    <row r="6" spans="1:29" s="119" customFormat="1" ht="38.25">
      <c r="A6" s="1688"/>
      <c r="B6" s="1684"/>
      <c r="C6" s="1930"/>
      <c r="D6" s="1931"/>
      <c r="E6" s="172" t="s">
        <v>558</v>
      </c>
      <c r="F6" s="173" t="s">
        <v>555</v>
      </c>
      <c r="G6" s="173" t="s">
        <v>559</v>
      </c>
      <c r="H6" s="174" t="s">
        <v>496</v>
      </c>
      <c r="I6" s="175" t="s">
        <v>558</v>
      </c>
      <c r="J6" s="173" t="s">
        <v>555</v>
      </c>
      <c r="K6" s="173" t="s">
        <v>559</v>
      </c>
      <c r="L6" s="176" t="s">
        <v>496</v>
      </c>
      <c r="M6" s="172" t="s">
        <v>558</v>
      </c>
      <c r="N6" s="173" t="s">
        <v>555</v>
      </c>
      <c r="O6" s="173" t="s">
        <v>559</v>
      </c>
      <c r="P6" s="176" t="s">
        <v>496</v>
      </c>
      <c r="Q6" s="272"/>
      <c r="R6" s="272"/>
      <c r="S6" s="272"/>
      <c r="T6" s="146"/>
      <c r="Z6" s="137">
        <f t="shared" si="0"/>
        <v>0</v>
      </c>
    </row>
    <row r="7" spans="1:29" s="195" customFormat="1" ht="12.75">
      <c r="A7" s="374" t="s">
        <v>6</v>
      </c>
      <c r="B7" s="367" t="s">
        <v>7</v>
      </c>
      <c r="C7" s="1653" t="s">
        <v>8</v>
      </c>
      <c r="D7" s="1654"/>
      <c r="E7" s="372" t="s">
        <v>9</v>
      </c>
      <c r="F7" s="371" t="s">
        <v>10</v>
      </c>
      <c r="G7" s="371" t="s">
        <v>417</v>
      </c>
      <c r="H7" s="377" t="s">
        <v>560</v>
      </c>
      <c r="I7" s="374" t="s">
        <v>415</v>
      </c>
      <c r="J7" s="371" t="s">
        <v>414</v>
      </c>
      <c r="K7" s="371" t="s">
        <v>413</v>
      </c>
      <c r="L7" s="373" t="s">
        <v>561</v>
      </c>
      <c r="M7" s="372" t="s">
        <v>419</v>
      </c>
      <c r="N7" s="371" t="s">
        <v>517</v>
      </c>
      <c r="O7" s="371" t="s">
        <v>562</v>
      </c>
      <c r="P7" s="373" t="s">
        <v>563</v>
      </c>
      <c r="Q7" s="389"/>
      <c r="R7" s="389"/>
      <c r="S7" s="389"/>
      <c r="T7" s="146"/>
      <c r="Z7" s="137">
        <f t="shared" si="0"/>
        <v>0</v>
      </c>
    </row>
    <row r="8" spans="1:29" s="122" customFormat="1" ht="27.75" customHeight="1">
      <c r="A8" s="218">
        <v>244</v>
      </c>
      <c r="B8" s="216"/>
      <c r="C8" s="1823" t="s">
        <v>734</v>
      </c>
      <c r="D8" s="1891"/>
      <c r="E8" s="1240">
        <v>4</v>
      </c>
      <c r="F8" s="1241">
        <f>IFERROR(ROUND(H8/G8/E8,2),0)</f>
        <v>0</v>
      </c>
      <c r="G8" s="1241">
        <v>1.86</v>
      </c>
      <c r="H8" s="1257">
        <f>H13-SUM(H9:H12)</f>
        <v>0</v>
      </c>
      <c r="I8" s="1247">
        <v>4</v>
      </c>
      <c r="J8" s="1241">
        <f>IFERROR(ROUND(L8/K8/I8,2),0)</f>
        <v>0</v>
      </c>
      <c r="K8" s="1241">
        <v>1.86</v>
      </c>
      <c r="L8" s="1242">
        <f>L13-SUM(L9:L12)</f>
        <v>0</v>
      </c>
      <c r="M8" s="1240">
        <v>4</v>
      </c>
      <c r="N8" s="1241">
        <f>IFERROR(ROUND(P8/O8/M8,2),0)</f>
        <v>0</v>
      </c>
      <c r="O8" s="1241">
        <v>1.86</v>
      </c>
      <c r="P8" s="1242">
        <f>P13-SUM(P9:P12)</f>
        <v>0</v>
      </c>
      <c r="Q8" s="266"/>
      <c r="R8" s="266"/>
      <c r="S8" s="266"/>
      <c r="T8" s="149"/>
      <c r="Z8" s="137">
        <f t="shared" si="0"/>
        <v>0</v>
      </c>
    </row>
    <row r="9" spans="1:29" s="122" customFormat="1" ht="34.15" customHeight="1">
      <c r="A9" s="236">
        <v>244</v>
      </c>
      <c r="B9" s="241"/>
      <c r="C9" s="1810" t="s">
        <v>615</v>
      </c>
      <c r="D9" s="1914"/>
      <c r="E9" s="1246"/>
      <c r="F9" s="1243"/>
      <c r="G9" s="1243"/>
      <c r="H9" s="1259"/>
      <c r="I9" s="350"/>
      <c r="J9" s="1243"/>
      <c r="K9" s="1243"/>
      <c r="L9" s="1245">
        <f>I9*J9*K9</f>
        <v>0</v>
      </c>
      <c r="M9" s="1246"/>
      <c r="N9" s="1243"/>
      <c r="O9" s="1243"/>
      <c r="P9" s="1245">
        <f>M9*N9*O9</f>
        <v>0</v>
      </c>
      <c r="Q9" s="266"/>
      <c r="R9" s="266"/>
      <c r="S9" s="266"/>
      <c r="T9" s="149"/>
      <c r="Z9" s="137">
        <f t="shared" si="0"/>
        <v>0</v>
      </c>
    </row>
    <row r="10" spans="1:29" s="122" customFormat="1" ht="27.75" customHeight="1">
      <c r="A10" s="218">
        <v>244</v>
      </c>
      <c r="B10" s="216"/>
      <c r="C10" s="1823" t="s">
        <v>619</v>
      </c>
      <c r="D10" s="1891"/>
      <c r="E10" s="1240"/>
      <c r="F10" s="1241"/>
      <c r="G10" s="1241"/>
      <c r="H10" s="1259"/>
      <c r="I10" s="1247"/>
      <c r="J10" s="1241"/>
      <c r="K10" s="1241"/>
      <c r="L10" s="1242">
        <f>I10*J10*K10</f>
        <v>0</v>
      </c>
      <c r="M10" s="1240"/>
      <c r="N10" s="1241"/>
      <c r="O10" s="1241"/>
      <c r="P10" s="1242">
        <f>M10*N10*O10</f>
        <v>0</v>
      </c>
      <c r="Q10" s="266"/>
      <c r="R10" s="266"/>
      <c r="S10" s="266"/>
      <c r="T10" s="149"/>
      <c r="Z10" s="137">
        <f t="shared" si="0"/>
        <v>0</v>
      </c>
    </row>
    <row r="11" spans="1:29" s="122" customFormat="1" ht="27.75" customHeight="1">
      <c r="A11" s="218">
        <v>244</v>
      </c>
      <c r="B11" s="216"/>
      <c r="C11" s="1823" t="s">
        <v>620</v>
      </c>
      <c r="D11" s="1891"/>
      <c r="E11" s="1240"/>
      <c r="F11" s="1241"/>
      <c r="G11" s="1241"/>
      <c r="H11" s="1259">
        <f>E11*F11*G11</f>
        <v>0</v>
      </c>
      <c r="I11" s="1247"/>
      <c r="J11" s="1241"/>
      <c r="K11" s="1241"/>
      <c r="L11" s="1242">
        <f>I11*J11*K11</f>
        <v>0</v>
      </c>
      <c r="M11" s="1240"/>
      <c r="N11" s="1241"/>
      <c r="O11" s="1241"/>
      <c r="P11" s="1242">
        <f>M11*N11*O11</f>
        <v>0</v>
      </c>
      <c r="Q11" s="266"/>
      <c r="R11" s="266"/>
      <c r="S11" s="266"/>
      <c r="T11" s="149"/>
      <c r="Z11" s="137">
        <f t="shared" si="0"/>
        <v>0</v>
      </c>
    </row>
    <row r="12" spans="1:29" s="122" customFormat="1" ht="27.75" customHeight="1">
      <c r="A12" s="218">
        <v>244</v>
      </c>
      <c r="B12" s="216"/>
      <c r="C12" s="1823" t="s">
        <v>621</v>
      </c>
      <c r="D12" s="1891"/>
      <c r="E12" s="1240"/>
      <c r="F12" s="1241"/>
      <c r="G12" s="1241"/>
      <c r="H12" s="1252">
        <f>E12*F12*G12</f>
        <v>0</v>
      </c>
      <c r="I12" s="1240"/>
      <c r="J12" s="1241"/>
      <c r="K12" s="1241"/>
      <c r="L12" s="1242">
        <f>I12*J12*K12</f>
        <v>0</v>
      </c>
      <c r="M12" s="1240"/>
      <c r="N12" s="1241"/>
      <c r="O12" s="1241"/>
      <c r="P12" s="1242">
        <f>M12*N12*O12</f>
        <v>0</v>
      </c>
      <c r="Q12" s="266"/>
      <c r="R12" s="266"/>
      <c r="S12" s="266"/>
      <c r="T12" s="149"/>
      <c r="Z12" s="137">
        <f t="shared" si="0"/>
        <v>0</v>
      </c>
    </row>
    <row r="13" spans="1:29" s="122" customFormat="1" ht="27.75" customHeight="1">
      <c r="A13" s="258"/>
      <c r="B13" s="259"/>
      <c r="C13" s="1904" t="s">
        <v>554</v>
      </c>
      <c r="D13" s="1905"/>
      <c r="E13" s="718" t="s">
        <v>412</v>
      </c>
      <c r="F13" s="734" t="s">
        <v>412</v>
      </c>
      <c r="G13" s="734" t="s">
        <v>412</v>
      </c>
      <c r="H13" s="905">
        <f>SUMIFS(Титульный!$O$69:$O$292,
Титульный!$K$69:$K$292,'КФО 2'!$Q13,
Титульный!$L$69:$L$292,'КФО 2'!$R13,
Титульный!$N$69:$N$292,'КФО 2'!$S13)</f>
        <v>0</v>
      </c>
      <c r="I13" s="736" t="s">
        <v>412</v>
      </c>
      <c r="J13" s="734" t="s">
        <v>412</v>
      </c>
      <c r="K13" s="734" t="s">
        <v>412</v>
      </c>
      <c r="L13" s="906">
        <f>SUMIFS(Титульный!$P$69:$P$292,
Титульный!$K$69:$K$292,'КФО 2'!$Q13,
Титульный!$L$69:$L$292,'КФО 2'!$R13,
Титульный!$N$69:$N$292,'КФО 2'!$S13)</f>
        <v>0</v>
      </c>
      <c r="M13" s="718" t="s">
        <v>412</v>
      </c>
      <c r="N13" s="734" t="s">
        <v>412</v>
      </c>
      <c r="O13" s="734" t="s">
        <v>412</v>
      </c>
      <c r="P13" s="906">
        <f>SUMIFS(Титульный!$Q$69:$Q$292,
Титульный!$K$69:$K$292,'КФО 2'!$Q13,
Титульный!$L$69:$L$292,'КФО 2'!$R13,
Титульный!$N$69:$N$292,'КФО 2'!$S13)</f>
        <v>0</v>
      </c>
      <c r="Q13" s="266">
        <v>2</v>
      </c>
      <c r="R13" s="266">
        <v>244</v>
      </c>
      <c r="S13" s="266">
        <v>221</v>
      </c>
      <c r="T13" s="149"/>
      <c r="Z13" s="137">
        <f t="shared" si="0"/>
        <v>0</v>
      </c>
    </row>
    <row r="14" spans="1:29" s="119" customFormat="1" ht="12" customHeight="1">
      <c r="B14" s="256"/>
      <c r="P14" s="143"/>
      <c r="Q14" s="272"/>
      <c r="R14" s="272"/>
      <c r="S14" s="272"/>
      <c r="T14" s="146"/>
      <c r="Z14" s="137">
        <f t="shared" si="0"/>
        <v>0</v>
      </c>
    </row>
    <row r="15" spans="1:29" s="144" customFormat="1" ht="12" hidden="1" customHeight="1">
      <c r="B15" s="256"/>
      <c r="Q15" s="272"/>
      <c r="R15" s="272"/>
      <c r="S15" s="272"/>
      <c r="T15" s="146"/>
      <c r="Z15" s="137">
        <f t="shared" si="0"/>
        <v>0</v>
      </c>
    </row>
    <row r="16" spans="1:29" s="144" customFormat="1" ht="12" hidden="1" customHeight="1">
      <c r="B16" s="256"/>
      <c r="Q16" s="272"/>
      <c r="R16" s="272"/>
      <c r="S16" s="272"/>
      <c r="T16" s="146"/>
      <c r="Z16" s="137">
        <f t="shared" si="0"/>
        <v>0</v>
      </c>
    </row>
    <row r="17" spans="1:29" s="215" customFormat="1" ht="27.75" customHeight="1">
      <c r="A17" s="1643" t="s">
        <v>564</v>
      </c>
      <c r="B17" s="1643"/>
      <c r="C17" s="1643"/>
      <c r="D17" s="1643"/>
      <c r="E17" s="1643"/>
      <c r="F17" s="1643"/>
      <c r="G17" s="1643"/>
      <c r="H17" s="1643"/>
      <c r="I17" s="1643"/>
      <c r="J17" s="1643"/>
      <c r="K17" s="1643"/>
      <c r="L17" s="1643"/>
      <c r="M17" s="1643"/>
      <c r="N17" s="1643"/>
      <c r="O17" s="1643"/>
      <c r="P17" s="1643"/>
      <c r="Q17" s="266"/>
      <c r="R17" s="266"/>
      <c r="S17" s="266"/>
      <c r="T17" s="214"/>
      <c r="Z17" s="137">
        <f t="shared" si="0"/>
        <v>0</v>
      </c>
    </row>
    <row r="18" spans="1:29" s="119" customFormat="1" ht="12" customHeight="1">
      <c r="B18" s="256"/>
      <c r="P18" s="143"/>
      <c r="Q18" s="272"/>
      <c r="R18" s="272"/>
      <c r="S18" s="272"/>
      <c r="T18" s="146"/>
      <c r="Z18" s="137">
        <f t="shared" si="0"/>
        <v>0</v>
      </c>
    </row>
    <row r="19" spans="1:29" s="119" customFormat="1" ht="33" customHeight="1">
      <c r="A19" s="1687" t="s">
        <v>541</v>
      </c>
      <c r="B19" s="1651" t="s">
        <v>430</v>
      </c>
      <c r="C19" s="1928" t="s">
        <v>553</v>
      </c>
      <c r="D19" s="1929"/>
      <c r="E19" s="1858" t="s">
        <v>1114</v>
      </c>
      <c r="F19" s="1859"/>
      <c r="G19" s="1859"/>
      <c r="H19" s="1887"/>
      <c r="I19" s="1856" t="s">
        <v>1115</v>
      </c>
      <c r="J19" s="1854"/>
      <c r="K19" s="1854"/>
      <c r="L19" s="1855"/>
      <c r="M19" s="1853" t="s">
        <v>1116</v>
      </c>
      <c r="N19" s="1854"/>
      <c r="O19" s="1854"/>
      <c r="P19" s="1855"/>
      <c r="Q19" s="272"/>
      <c r="R19" s="272"/>
      <c r="S19" s="272"/>
      <c r="T19" s="146"/>
      <c r="Z19" s="137">
        <f t="shared" si="0"/>
        <v>0</v>
      </c>
      <c r="AA19" s="137">
        <f>SUM(G22)-SUBTOTAL(109,G22)</f>
        <v>0</v>
      </c>
      <c r="AB19" s="137">
        <f>SUM(K22)-SUBTOTAL(109,K22)</f>
        <v>0</v>
      </c>
      <c r="AC19" s="137">
        <f>SUM(O22)-SUBTOTAL(109,O22)</f>
        <v>0</v>
      </c>
    </row>
    <row r="20" spans="1:29" s="119" customFormat="1" ht="51">
      <c r="A20" s="1688"/>
      <c r="B20" s="1684"/>
      <c r="C20" s="1930"/>
      <c r="D20" s="1931"/>
      <c r="E20" s="169" t="s">
        <v>565</v>
      </c>
      <c r="F20" s="170" t="s">
        <v>566</v>
      </c>
      <c r="G20" s="1838" t="s">
        <v>496</v>
      </c>
      <c r="H20" s="1839"/>
      <c r="I20" s="169" t="s">
        <v>565</v>
      </c>
      <c r="J20" s="170" t="s">
        <v>566</v>
      </c>
      <c r="K20" s="1838" t="s">
        <v>496</v>
      </c>
      <c r="L20" s="1839"/>
      <c r="M20" s="169" t="s">
        <v>565</v>
      </c>
      <c r="N20" s="170" t="s">
        <v>566</v>
      </c>
      <c r="O20" s="1838" t="s">
        <v>496</v>
      </c>
      <c r="P20" s="1839"/>
      <c r="Q20" s="272"/>
      <c r="R20" s="272"/>
      <c r="S20" s="272"/>
      <c r="T20" s="146"/>
      <c r="Z20" s="137">
        <f t="shared" si="0"/>
        <v>0</v>
      </c>
    </row>
    <row r="21" spans="1:29" s="121" customFormat="1" ht="12.75">
      <c r="A21" s="374" t="s">
        <v>6</v>
      </c>
      <c r="B21" s="377" t="s">
        <v>7</v>
      </c>
      <c r="C21" s="1906" t="s">
        <v>8</v>
      </c>
      <c r="D21" s="1907"/>
      <c r="E21" s="374">
        <v>4</v>
      </c>
      <c r="F21" s="371">
        <v>5</v>
      </c>
      <c r="G21" s="1653" t="s">
        <v>716</v>
      </c>
      <c r="H21" s="1654"/>
      <c r="I21" s="374">
        <v>7</v>
      </c>
      <c r="J21" s="371">
        <v>8</v>
      </c>
      <c r="K21" s="1653" t="s">
        <v>717</v>
      </c>
      <c r="L21" s="1654"/>
      <c r="M21" s="374" t="s">
        <v>413</v>
      </c>
      <c r="N21" s="371" t="s">
        <v>418</v>
      </c>
      <c r="O21" s="1653" t="s">
        <v>499</v>
      </c>
      <c r="P21" s="1654"/>
      <c r="Q21" s="388"/>
      <c r="R21" s="388"/>
      <c r="S21" s="388"/>
      <c r="T21" s="147"/>
      <c r="Z21" s="137">
        <f t="shared" si="0"/>
        <v>0</v>
      </c>
    </row>
    <row r="22" spans="1:29" s="122" customFormat="1" ht="27.75" customHeight="1">
      <c r="A22" s="236">
        <v>244</v>
      </c>
      <c r="B22" s="247"/>
      <c r="C22" s="1810" t="s">
        <v>617</v>
      </c>
      <c r="D22" s="1810"/>
      <c r="E22" s="350">
        <f>ROUNDUP(G22/10000,0)</f>
        <v>0</v>
      </c>
      <c r="F22" s="1243">
        <f>IFERROR(ROUND(G22/E22,2),0)</f>
        <v>0</v>
      </c>
      <c r="G22" s="1704">
        <f>G23</f>
        <v>0</v>
      </c>
      <c r="H22" s="1708"/>
      <c r="I22" s="350">
        <f>ROUNDUP(K22/10000,0)</f>
        <v>0</v>
      </c>
      <c r="J22" s="1243">
        <f>IFERROR(ROUND(K22/I22,2),0)</f>
        <v>0</v>
      </c>
      <c r="K22" s="1704">
        <f>K23</f>
        <v>0</v>
      </c>
      <c r="L22" s="1708"/>
      <c r="M22" s="350">
        <f>ROUNDUP(O22/10000,0)</f>
        <v>0</v>
      </c>
      <c r="N22" s="1243">
        <f>IFERROR(ROUND(O22/M22,2),0)</f>
        <v>0</v>
      </c>
      <c r="O22" s="1704">
        <f>O23</f>
        <v>0</v>
      </c>
      <c r="P22" s="1708"/>
      <c r="Q22" s="266"/>
      <c r="R22" s="266"/>
      <c r="S22" s="266"/>
      <c r="T22" s="149"/>
      <c r="Z22" s="137">
        <f t="shared" si="0"/>
        <v>0</v>
      </c>
    </row>
    <row r="23" spans="1:29" s="267" customFormat="1" ht="27.75" customHeight="1">
      <c r="A23" s="258"/>
      <c r="B23" s="261"/>
      <c r="C23" s="1904" t="s">
        <v>554</v>
      </c>
      <c r="D23" s="1905"/>
      <c r="E23" s="736" t="s">
        <v>412</v>
      </c>
      <c r="F23" s="734" t="s">
        <v>412</v>
      </c>
      <c r="G23" s="1908">
        <f>SUMIFS(Титульный!$O$69:$O$292,Титульный!$K$69:$K$292,'КФО 2'!$Q23,Титульный!$L$69:$L$292,'КФО 2'!$R23,Титульный!$N$69:$N$292,'КФО 2'!$S23)</f>
        <v>0</v>
      </c>
      <c r="H23" s="1909">
        <f>SUMIFS(Титульный!$O$69:$O$292,Титульный!$K$69:$K$292,'КФО 2'!$Q23,Титульный!$L$69:$L$292,'КФО 2'!$R23,Титульный!$N$69:$N$292,'КФО 2'!$S23)</f>
        <v>0</v>
      </c>
      <c r="I23" s="736" t="s">
        <v>412</v>
      </c>
      <c r="J23" s="734" t="s">
        <v>412</v>
      </c>
      <c r="K23" s="1910">
        <f>SUMIFS(Титульный!$P$69:$P$292,
Титульный!$K$69:$K$292,'КФО 2'!$Q23,
Титульный!$L$69:$L$292,'КФО 2'!$R23,
Титульный!$N$69:$N$292,'КФО 2'!$S23)</f>
        <v>0</v>
      </c>
      <c r="L23" s="1909">
        <f>SUMIFS(Титульный!$P$69:$P$292,
Титульный!$K$69:$K$292,'КФО 2'!$Q23,
Титульный!$L$69:$L$292,'КФО 2'!$R23,
Титульный!$N$69:$N$292,'КФО 2'!$S23)</f>
        <v>0</v>
      </c>
      <c r="M23" s="736" t="s">
        <v>412</v>
      </c>
      <c r="N23" s="734" t="s">
        <v>412</v>
      </c>
      <c r="O23" s="1910">
        <f>SUMIFS(Титульный!$Q$69:$Q$292,
Титульный!$K$69:$K$292,'КФО 2'!$Q23,
Титульный!$L$69:$L$292,'КФО 2'!$R23,
Титульный!$N$69:$N$292,'КФО 2'!$S23)</f>
        <v>0</v>
      </c>
      <c r="P23" s="1909">
        <f>SUMIFS(Титульный!$Q$69:$Q$292,
Титульный!$K$69:$K$292,'КФО 2'!$Q23,
Титульный!$L$69:$L$292,'КФО 2'!$R23,
Титульный!$N$69:$N$292,'КФО 2'!$S23)</f>
        <v>0</v>
      </c>
      <c r="Q23" s="266">
        <v>2</v>
      </c>
      <c r="R23" s="266">
        <v>244</v>
      </c>
      <c r="S23" s="266">
        <v>222</v>
      </c>
      <c r="T23" s="266"/>
      <c r="Z23" s="137">
        <f t="shared" si="0"/>
        <v>0</v>
      </c>
    </row>
    <row r="24" spans="1:29" s="119" customFormat="1" ht="12" customHeight="1">
      <c r="B24" s="256"/>
      <c r="P24" s="143"/>
      <c r="Q24" s="272"/>
      <c r="R24" s="272"/>
      <c r="S24" s="272"/>
      <c r="T24" s="146"/>
      <c r="Z24" s="137">
        <f t="shared" si="0"/>
        <v>0</v>
      </c>
    </row>
    <row r="25" spans="1:29" s="144" customFormat="1" ht="15.75" hidden="1" customHeight="1">
      <c r="B25" s="256"/>
      <c r="Q25" s="272"/>
      <c r="R25" s="272"/>
      <c r="S25" s="272"/>
      <c r="T25" s="146"/>
      <c r="Z25" s="137">
        <f t="shared" si="0"/>
        <v>0</v>
      </c>
    </row>
    <row r="26" spans="1:29" s="144" customFormat="1" ht="12" hidden="1" customHeight="1">
      <c r="B26" s="256"/>
      <c r="Q26" s="272"/>
      <c r="R26" s="272"/>
      <c r="S26" s="272"/>
      <c r="T26" s="146"/>
      <c r="Z26" s="137">
        <f t="shared" si="0"/>
        <v>0</v>
      </c>
    </row>
    <row r="27" spans="1:29" s="215" customFormat="1" ht="27.75" customHeight="1">
      <c r="A27" s="1643" t="s">
        <v>567</v>
      </c>
      <c r="B27" s="1643"/>
      <c r="C27" s="1643"/>
      <c r="D27" s="1643"/>
      <c r="E27" s="1643"/>
      <c r="F27" s="1643"/>
      <c r="G27" s="1643"/>
      <c r="H27" s="1643"/>
      <c r="I27" s="1643"/>
      <c r="J27" s="1643"/>
      <c r="K27" s="1643"/>
      <c r="L27" s="1643"/>
      <c r="M27" s="1643"/>
      <c r="N27" s="1643"/>
      <c r="O27" s="1643"/>
      <c r="P27" s="1643"/>
      <c r="Q27" s="266"/>
      <c r="R27" s="266"/>
      <c r="S27" s="266"/>
      <c r="T27" s="214"/>
      <c r="Z27" s="137">
        <f t="shared" si="0"/>
        <v>0</v>
      </c>
    </row>
    <row r="28" spans="1:29" s="119" customFormat="1" ht="12" customHeight="1">
      <c r="B28" s="256"/>
      <c r="P28" s="143"/>
      <c r="Q28" s="272"/>
      <c r="R28" s="272"/>
      <c r="S28" s="272"/>
      <c r="T28" s="146"/>
      <c r="Z28" s="137">
        <f t="shared" si="0"/>
        <v>0</v>
      </c>
    </row>
    <row r="29" spans="1:29" s="119" customFormat="1" ht="33.75" customHeight="1">
      <c r="A29" s="1687" t="s">
        <v>541</v>
      </c>
      <c r="B29" s="1651" t="s">
        <v>430</v>
      </c>
      <c r="C29" s="1892" t="s">
        <v>0</v>
      </c>
      <c r="D29" s="1696" t="s">
        <v>211</v>
      </c>
      <c r="E29" s="1858" t="s">
        <v>1114</v>
      </c>
      <c r="F29" s="1859"/>
      <c r="G29" s="1859"/>
      <c r="H29" s="1887"/>
      <c r="I29" s="1856" t="s">
        <v>1115</v>
      </c>
      <c r="J29" s="1854"/>
      <c r="K29" s="1854"/>
      <c r="L29" s="1855"/>
      <c r="M29" s="1853" t="s">
        <v>1116</v>
      </c>
      <c r="N29" s="1854"/>
      <c r="O29" s="1854"/>
      <c r="P29" s="1855"/>
      <c r="Q29" s="272"/>
      <c r="R29" s="272"/>
      <c r="S29" s="272"/>
      <c r="T29" s="146"/>
      <c r="Z29" s="137">
        <f t="shared" si="0"/>
        <v>0</v>
      </c>
      <c r="AA29" s="137">
        <f>SUM(G32:H35)-SUBTOTAL(109,G32:H35)</f>
        <v>0</v>
      </c>
      <c r="AB29" s="137">
        <f>SUM(K32:L35)-SUBTOTAL(109,K32:L35)</f>
        <v>0</v>
      </c>
      <c r="AC29" s="137">
        <f>SUM(O32:P35)-SUBTOTAL(109,O32:P35)</f>
        <v>0</v>
      </c>
    </row>
    <row r="30" spans="1:29" s="119" customFormat="1" ht="38.25">
      <c r="A30" s="1688"/>
      <c r="B30" s="1684"/>
      <c r="C30" s="1847"/>
      <c r="D30" s="1698"/>
      <c r="E30" s="169" t="s">
        <v>568</v>
      </c>
      <c r="F30" s="170" t="s">
        <v>569</v>
      </c>
      <c r="G30" s="1838" t="s">
        <v>496</v>
      </c>
      <c r="H30" s="1839"/>
      <c r="I30" s="169" t="s">
        <v>568</v>
      </c>
      <c r="J30" s="170" t="s">
        <v>569</v>
      </c>
      <c r="K30" s="1838" t="s">
        <v>496</v>
      </c>
      <c r="L30" s="1839"/>
      <c r="M30" s="169" t="s">
        <v>568</v>
      </c>
      <c r="N30" s="170" t="s">
        <v>569</v>
      </c>
      <c r="O30" s="1838" t="s">
        <v>496</v>
      </c>
      <c r="P30" s="1839"/>
      <c r="Q30" s="272"/>
      <c r="R30" s="272"/>
      <c r="S30" s="272"/>
      <c r="T30" s="146"/>
      <c r="U30" s="144"/>
      <c r="Z30" s="137">
        <f t="shared" si="0"/>
        <v>0</v>
      </c>
    </row>
    <row r="31" spans="1:29" s="121" customFormat="1" ht="12.75">
      <c r="A31" s="374" t="s">
        <v>6</v>
      </c>
      <c r="B31" s="377" t="s">
        <v>7</v>
      </c>
      <c r="C31" s="371" t="s">
        <v>8</v>
      </c>
      <c r="D31" s="373" t="s">
        <v>9</v>
      </c>
      <c r="E31" s="374">
        <v>5</v>
      </c>
      <c r="F31" s="371">
        <v>6</v>
      </c>
      <c r="G31" s="1653" t="s">
        <v>718</v>
      </c>
      <c r="H31" s="1654"/>
      <c r="I31" s="374">
        <v>8</v>
      </c>
      <c r="J31" s="371">
        <v>9</v>
      </c>
      <c r="K31" s="1653" t="s">
        <v>719</v>
      </c>
      <c r="L31" s="1654"/>
      <c r="M31" s="374">
        <v>11</v>
      </c>
      <c r="N31" s="371">
        <v>12</v>
      </c>
      <c r="O31" s="1653" t="s">
        <v>720</v>
      </c>
      <c r="P31" s="1654"/>
      <c r="Q31" s="388"/>
      <c r="R31" s="388"/>
      <c r="S31" s="388"/>
      <c r="T31" s="147"/>
      <c r="Z31" s="137">
        <f t="shared" si="0"/>
        <v>0</v>
      </c>
    </row>
    <row r="32" spans="1:29" s="122" customFormat="1" ht="27.75" customHeight="1">
      <c r="A32" s="225">
        <v>247</v>
      </c>
      <c r="B32" s="226"/>
      <c r="C32" s="227" t="s">
        <v>571</v>
      </c>
      <c r="D32" s="228" t="s">
        <v>722</v>
      </c>
      <c r="E32" s="1248">
        <f>ROUND(G32/F32,2)</f>
        <v>86.85</v>
      </c>
      <c r="F32" s="1249">
        <v>5268</v>
      </c>
      <c r="G32" s="1791">
        <f>SUMIFS(Титульный!$O$69:$O$292,Титульный!$K$69:$K$292,'КФО 2'!$Q32,Титульный!$L$69:$L$292,'КФО 2'!$R32,Титульный!$N$69:$N$292,'КФО 2'!$S32)*0.75</f>
        <v>457500</v>
      </c>
      <c r="H32" s="1674"/>
      <c r="I32" s="1248">
        <f>ROUND(K32/J32,2)</f>
        <v>95.88</v>
      </c>
      <c r="J32" s="1249">
        <f>F32*1.039</f>
        <v>5473.4519999999993</v>
      </c>
      <c r="K32" s="1885">
        <f>SUMIFS(Титульный!$P$69:$P$292,
Титульный!$K$69:$K$292,'КФО 2'!$Q32,
Титульный!$L$69:$L$292,'КФО 2'!$R32,
Титульный!$N$69:$N$292,'КФО 2'!$S32)*0.82</f>
        <v>524800</v>
      </c>
      <c r="L32" s="1674"/>
      <c r="M32" s="1248">
        <f>ROUND(O32/N32,2)</f>
        <v>92.28</v>
      </c>
      <c r="N32" s="1249">
        <f>J32*1.039</f>
        <v>5686.916627999999</v>
      </c>
      <c r="O32" s="1885">
        <f>SUMIFS(Титульный!$Q$69:$Q$292,
Титульный!$K$69:$K$292,'КФО 2'!$Q32,
Титульный!$L$69:$L$292,'КФО 2'!$R32,
Титульный!$N$69:$N$292,'КФО 2'!$S32)*0.82</f>
        <v>524800</v>
      </c>
      <c r="P32" s="1674"/>
      <c r="Q32" s="266">
        <v>2</v>
      </c>
      <c r="R32" s="266">
        <v>247</v>
      </c>
      <c r="S32" s="266">
        <v>223</v>
      </c>
      <c r="T32" s="149"/>
      <c r="Z32" s="137">
        <f t="shared" si="0"/>
        <v>0</v>
      </c>
    </row>
    <row r="33" spans="1:29" s="122" customFormat="1" ht="27.75" customHeight="1">
      <c r="A33" s="218">
        <v>247</v>
      </c>
      <c r="B33" s="217"/>
      <c r="C33" s="229" t="s">
        <v>570</v>
      </c>
      <c r="D33" s="219" t="s">
        <v>721</v>
      </c>
      <c r="E33" s="1247">
        <f>ROUND(G33/F33,2)</f>
        <v>13228.92</v>
      </c>
      <c r="F33" s="1241">
        <v>8.3000000000000007</v>
      </c>
      <c r="G33" s="1882">
        <f>SUMIFS(Титульный!$O$69:$O$292,Титульный!$K$69:$K$292,'КФО 2'!$Q33,Титульный!$L$69:$L$292,'КФО 2'!$R33,Титульный!$N$69:$N$292,'КФО 2'!$S33)*0.18</f>
        <v>109800</v>
      </c>
      <c r="H33" s="1883"/>
      <c r="I33" s="1247">
        <f>ROUND(K33/J33,2)</f>
        <v>13358.54</v>
      </c>
      <c r="J33" s="1241">
        <f>F33*1.039</f>
        <v>8.6236999999999995</v>
      </c>
      <c r="K33" s="1884">
        <f>SUMIFS(Титульный!$P$69:$P$292,
Титульный!$K$69:$K$292,'КФО 2'!$Q33,
Титульный!$L$69:$L$292,'КФО 2'!$R33,
Титульный!$N$69:$N$292,'КФО 2'!$S33)*0.18</f>
        <v>115200</v>
      </c>
      <c r="L33" s="1883"/>
      <c r="M33" s="1247">
        <f>ROUND(O33/N33,2)</f>
        <v>12857.11</v>
      </c>
      <c r="N33" s="1241">
        <f>J33*1.039</f>
        <v>8.9600242999999988</v>
      </c>
      <c r="O33" s="1884">
        <f>SUMIFS(Титульный!$Q$69:$Q$292,
Титульный!$K$69:$K$292,'КФО 2'!$Q33,
Титульный!$L$69:$L$292,'КФО 2'!$R33,
Титульный!$N$69:$N$292,'КФО 2'!$S33)*0.18</f>
        <v>115200</v>
      </c>
      <c r="P33" s="1883"/>
      <c r="Q33" s="266">
        <v>2</v>
      </c>
      <c r="R33" s="266">
        <v>247</v>
      </c>
      <c r="S33" s="266">
        <v>223</v>
      </c>
      <c r="T33" s="149"/>
      <c r="Z33" s="137">
        <f t="shared" si="0"/>
        <v>0</v>
      </c>
    </row>
    <row r="34" spans="1:29" s="122" customFormat="1" ht="27.75" customHeight="1">
      <c r="A34" s="218">
        <v>247</v>
      </c>
      <c r="B34" s="217"/>
      <c r="C34" s="376" t="s">
        <v>572</v>
      </c>
      <c r="D34" s="219" t="s">
        <v>723</v>
      </c>
      <c r="E34" s="1247">
        <f>ROUND(G34/F34,2)</f>
        <v>458.45</v>
      </c>
      <c r="F34" s="1241">
        <v>93.14</v>
      </c>
      <c r="G34" s="1882">
        <f>SUMIFS(Титульный!$O$69:$O$292,Титульный!$K$69:$K$292,'КФО 2'!$Q34,Титульный!$L$69:$L$292,'КФО 2'!$R33,Титульный!$N$69:$N$292,'КФО 2'!$S33)*0.07</f>
        <v>42700.000000000007</v>
      </c>
      <c r="H34" s="1883"/>
      <c r="I34" s="1247">
        <f>ROUND(K34/J34,2)</f>
        <v>434.01</v>
      </c>
      <c r="J34" s="1241">
        <f>F34*1.039</f>
        <v>96.772459999999995</v>
      </c>
      <c r="K34" s="1884">
        <f>SUMIFS(Титульный!$P$69:$P$292,
Титульный!$K$69:$K$292,'КФО 2'!$Q34,
Титульный!$L$69:$L$292,'КФО 2'!$R34,
Титульный!$N$69:$N$292,'КФО 2'!$S34)*0.7</f>
        <v>42000</v>
      </c>
      <c r="L34" s="1883"/>
      <c r="M34" s="1247">
        <f>ROUND(O34/N34,2)</f>
        <v>417.72</v>
      </c>
      <c r="N34" s="1241">
        <f>J34*1.039</f>
        <v>100.54658593999999</v>
      </c>
      <c r="O34" s="1884">
        <f>SUMIFS(Титульный!$Q$69:$Q$292,
Титульный!$K$69:$K$292,'КФО 2'!$Q34,
Титульный!$L$69:$L$292,'КФО 2'!$R34,
Титульный!$N$69:$N$292,'КФО 2'!$S34)*0.7</f>
        <v>42000</v>
      </c>
      <c r="P34" s="1883"/>
      <c r="Q34" s="266">
        <v>2</v>
      </c>
      <c r="R34" s="266">
        <v>244</v>
      </c>
      <c r="S34" s="266">
        <v>223</v>
      </c>
      <c r="T34" s="149"/>
      <c r="Z34" s="137">
        <f t="shared" si="0"/>
        <v>0</v>
      </c>
    </row>
    <row r="35" spans="1:29" s="122" customFormat="1" ht="27.75" customHeight="1">
      <c r="A35" s="243">
        <v>244</v>
      </c>
      <c r="B35" s="246"/>
      <c r="C35" s="379" t="s">
        <v>573</v>
      </c>
      <c r="D35" s="234" t="s">
        <v>723</v>
      </c>
      <c r="E35" s="1250">
        <f>ROUND(G35/F35,2)</f>
        <v>58.55</v>
      </c>
      <c r="F35" s="1251">
        <v>1024.8</v>
      </c>
      <c r="G35" s="1792">
        <f>SUMIFS(Титульный!$O$69:$O$292,Титульный!$K$69:$K$292,'КФО 2'!$Q35,Титульный!$L$69:$L$292,'КФО 2'!$R35,Титульный!$N$69:$N$292,'КФО 2'!$S35)</f>
        <v>60000</v>
      </c>
      <c r="H35" s="1793"/>
      <c r="I35" s="1250">
        <f>ROUND(K35/J35,2)</f>
        <v>16.91</v>
      </c>
      <c r="J35" s="1251">
        <f>F35*1.039</f>
        <v>1064.7671999999998</v>
      </c>
      <c r="K35" s="1913">
        <f>SUMIFS(Титульный!$P$69:$P$292,
Титульный!$K$69:$K$292,'КФО 2'!$Q35,
Титульный!$L$69:$L$292,'КФО 2'!$R35,
Титульный!$N$69:$N$292,'КФО 2'!$S35)*0.3</f>
        <v>18000</v>
      </c>
      <c r="L35" s="1793"/>
      <c r="M35" s="1250">
        <f>ROUND(O35/N35,2)</f>
        <v>16.27</v>
      </c>
      <c r="N35" s="1241">
        <f>J35*1.039</f>
        <v>1106.2931207999998</v>
      </c>
      <c r="O35" s="1913">
        <f>SUMIFS(Титульный!$Q$69:$Q$292,
Титульный!$K$69:$K$292,'КФО 2'!$Q35,
Титульный!$L$69:$L$292,'КФО 2'!$R35,
Титульный!$N$69:$N$292,'КФО 2'!$S35)*0.3</f>
        <v>18000</v>
      </c>
      <c r="P35" s="1793"/>
      <c r="Q35" s="266">
        <v>2</v>
      </c>
      <c r="R35" s="266">
        <v>244</v>
      </c>
      <c r="S35" s="266">
        <v>223</v>
      </c>
      <c r="T35" s="149"/>
      <c r="Z35" s="137">
        <f t="shared" si="0"/>
        <v>0</v>
      </c>
    </row>
    <row r="36" spans="1:29" s="267" customFormat="1" ht="27.75" customHeight="1">
      <c r="A36" s="260"/>
      <c r="B36" s="261"/>
      <c r="C36" s="235" t="s">
        <v>554</v>
      </c>
      <c r="D36" s="262" t="s">
        <v>412</v>
      </c>
      <c r="E36" s="736" t="s">
        <v>412</v>
      </c>
      <c r="F36" s="734" t="s">
        <v>412</v>
      </c>
      <c r="G36" s="1667">
        <f>SUM(G32:H35)</f>
        <v>670000</v>
      </c>
      <c r="H36" s="1800">
        <f>SUMIFS(Титульный!$O$69:$O$292,Титульный!$K$69:$K$292,'КФО 2'!$Q36,Титульный!$L$69:$L$292,'КФО 2'!$R36,Титульный!$N$69:$N$292,'КФО 2'!$S36)</f>
        <v>0</v>
      </c>
      <c r="I36" s="736" t="s">
        <v>412</v>
      </c>
      <c r="J36" s="734" t="s">
        <v>412</v>
      </c>
      <c r="K36" s="1667">
        <f>SUM(K32:L35)</f>
        <v>700000</v>
      </c>
      <c r="L36" s="1800">
        <f>SUMIFS(Титульный!$P$69:$P$292,
Титульный!$K$69:$K$292,'КФО 2'!$Q36,
Титульный!$L$69:$L$292,'КФО 2'!$R36,
Титульный!$N$69:$N$292,'КФО 2'!$S36)</f>
        <v>0</v>
      </c>
      <c r="M36" s="736" t="s">
        <v>412</v>
      </c>
      <c r="N36" s="734" t="s">
        <v>412</v>
      </c>
      <c r="O36" s="1667">
        <f>SUM(O32:P35)</f>
        <v>700000</v>
      </c>
      <c r="P36" s="1800">
        <f>SUMIFS(Титульный!$Q$69:$Q$292,
Титульный!$K$69:$K$292,'КФО 2'!$Q36,
Титульный!$L$69:$L$292,'КФО 2'!$R36,
Титульный!$N$69:$N$292,'КФО 2'!$S36)</f>
        <v>0</v>
      </c>
      <c r="Q36" s="266"/>
      <c r="R36" s="266"/>
      <c r="S36" s="266"/>
      <c r="T36" s="266"/>
      <c r="Z36" s="137">
        <f t="shared" si="0"/>
        <v>0</v>
      </c>
    </row>
    <row r="37" spans="1:29" s="119" customFormat="1" ht="12" customHeight="1">
      <c r="B37" s="256"/>
      <c r="P37" s="143"/>
      <c r="Q37" s="272"/>
      <c r="R37" s="272"/>
      <c r="S37" s="272"/>
      <c r="T37" s="146"/>
      <c r="V37" s="144"/>
      <c r="Z37" s="137">
        <f t="shared" ref="Z37:Z68" si="1">SUM(AA37:AW37)</f>
        <v>0</v>
      </c>
    </row>
    <row r="38" spans="1:29" s="144" customFormat="1" ht="12" hidden="1" customHeight="1">
      <c r="B38" s="256"/>
      <c r="Q38" s="272"/>
      <c r="R38" s="272"/>
      <c r="S38" s="272"/>
      <c r="T38" s="146"/>
      <c r="Z38" s="137">
        <f t="shared" si="1"/>
        <v>0</v>
      </c>
    </row>
    <row r="39" spans="1:29" s="144" customFormat="1" ht="12" hidden="1" customHeight="1">
      <c r="B39" s="256"/>
      <c r="Q39" s="272"/>
      <c r="R39" s="272"/>
      <c r="S39" s="272"/>
      <c r="T39" s="146"/>
      <c r="Z39" s="137">
        <f t="shared" si="1"/>
        <v>0</v>
      </c>
    </row>
    <row r="40" spans="1:29" s="215" customFormat="1" ht="27.75" customHeight="1">
      <c r="A40" s="1643" t="s">
        <v>574</v>
      </c>
      <c r="B40" s="1643"/>
      <c r="C40" s="1643"/>
      <c r="D40" s="1643"/>
      <c r="E40" s="1643"/>
      <c r="F40" s="1643"/>
      <c r="G40" s="1643"/>
      <c r="H40" s="1643"/>
      <c r="I40" s="1643"/>
      <c r="J40" s="1643"/>
      <c r="K40" s="1643"/>
      <c r="L40" s="1643"/>
      <c r="M40" s="1643"/>
      <c r="N40" s="1643"/>
      <c r="O40" s="1643"/>
      <c r="P40" s="1643"/>
      <c r="Q40" s="266"/>
      <c r="R40" s="266"/>
      <c r="S40" s="266"/>
      <c r="T40" s="214"/>
      <c r="Z40" s="137">
        <f t="shared" si="1"/>
        <v>0</v>
      </c>
    </row>
    <row r="41" spans="1:29" s="119" customFormat="1" ht="12" customHeight="1">
      <c r="B41" s="256"/>
      <c r="P41" s="143"/>
      <c r="Q41" s="272"/>
      <c r="R41" s="272"/>
      <c r="S41" s="272"/>
      <c r="T41" s="146"/>
      <c r="Z41" s="137">
        <f t="shared" si="1"/>
        <v>0</v>
      </c>
    </row>
    <row r="42" spans="1:29" s="119" customFormat="1" ht="33" customHeight="1">
      <c r="A42" s="1687" t="s">
        <v>541</v>
      </c>
      <c r="B42" s="1651" t="s">
        <v>430</v>
      </c>
      <c r="C42" s="1892" t="s">
        <v>553</v>
      </c>
      <c r="D42" s="1685"/>
      <c r="E42" s="1858" t="s">
        <v>1114</v>
      </c>
      <c r="F42" s="1859"/>
      <c r="G42" s="1859"/>
      <c r="H42" s="1887"/>
      <c r="I42" s="1856" t="s">
        <v>1115</v>
      </c>
      <c r="J42" s="1854"/>
      <c r="K42" s="1854"/>
      <c r="L42" s="1855"/>
      <c r="M42" s="1853" t="s">
        <v>1116</v>
      </c>
      <c r="N42" s="1854"/>
      <c r="O42" s="1854"/>
      <c r="P42" s="1855"/>
      <c r="Q42" s="272"/>
      <c r="R42" s="272"/>
      <c r="S42" s="272"/>
      <c r="T42" s="146"/>
      <c r="Z42" s="137">
        <f t="shared" si="1"/>
        <v>0</v>
      </c>
      <c r="AA42" s="137">
        <f>SUM(G45:H47)-SUBTOTAL(109,G45:H47)</f>
        <v>0</v>
      </c>
      <c r="AB42" s="137">
        <f>SUM(K45:L47)-SUBTOTAL(109,K45:L47)</f>
        <v>0</v>
      </c>
      <c r="AC42" s="137">
        <f>SUM(O45:P47)-SUBTOTAL(109,O45:P47)</f>
        <v>0</v>
      </c>
    </row>
    <row r="43" spans="1:29" s="119" customFormat="1" ht="51">
      <c r="A43" s="1688"/>
      <c r="B43" s="1684"/>
      <c r="C43" s="1893"/>
      <c r="D43" s="1901"/>
      <c r="E43" s="181" t="s">
        <v>575</v>
      </c>
      <c r="F43" s="182" t="s">
        <v>576</v>
      </c>
      <c r="G43" s="1911" t="s">
        <v>496</v>
      </c>
      <c r="H43" s="1912"/>
      <c r="I43" s="181" t="s">
        <v>575</v>
      </c>
      <c r="J43" s="182" t="s">
        <v>576</v>
      </c>
      <c r="K43" s="1911" t="s">
        <v>496</v>
      </c>
      <c r="L43" s="1912"/>
      <c r="M43" s="184" t="s">
        <v>575</v>
      </c>
      <c r="N43" s="182" t="s">
        <v>576</v>
      </c>
      <c r="O43" s="1911" t="s">
        <v>496</v>
      </c>
      <c r="P43" s="1912"/>
      <c r="Q43" s="272"/>
      <c r="R43" s="272"/>
      <c r="S43" s="272"/>
      <c r="T43" s="146"/>
      <c r="Z43" s="137">
        <f t="shared" si="1"/>
        <v>0</v>
      </c>
    </row>
    <row r="44" spans="1:29" s="195" customFormat="1" ht="12.75">
      <c r="A44" s="374" t="s">
        <v>6</v>
      </c>
      <c r="B44" s="371" t="s">
        <v>7</v>
      </c>
      <c r="C44" s="1895" t="s">
        <v>8</v>
      </c>
      <c r="D44" s="1896"/>
      <c r="E44" s="374">
        <v>4</v>
      </c>
      <c r="F44" s="371">
        <v>5</v>
      </c>
      <c r="G44" s="1653" t="s">
        <v>716</v>
      </c>
      <c r="H44" s="1654"/>
      <c r="I44" s="374">
        <v>7</v>
      </c>
      <c r="J44" s="371">
        <v>8</v>
      </c>
      <c r="K44" s="1653" t="s">
        <v>717</v>
      </c>
      <c r="L44" s="1654"/>
      <c r="M44" s="374" t="s">
        <v>413</v>
      </c>
      <c r="N44" s="371" t="s">
        <v>418</v>
      </c>
      <c r="O44" s="1653" t="s">
        <v>499</v>
      </c>
      <c r="P44" s="1654"/>
      <c r="Q44" s="389"/>
      <c r="R44" s="389"/>
      <c r="S44" s="389"/>
      <c r="T44" s="146"/>
      <c r="Z44" s="137">
        <f t="shared" si="1"/>
        <v>0</v>
      </c>
    </row>
    <row r="45" spans="1:29" s="122" customFormat="1" ht="27.75" customHeight="1">
      <c r="A45" s="236">
        <v>244</v>
      </c>
      <c r="B45" s="241"/>
      <c r="C45" s="1810" t="s">
        <v>239</v>
      </c>
      <c r="D45" s="1902"/>
      <c r="E45" s="350"/>
      <c r="F45" s="1243">
        <f t="shared" ref="F45:F47" si="2">IFERROR(G45/E45,0)</f>
        <v>0</v>
      </c>
      <c r="G45" s="1704">
        <f>SUMIFS(Титульный!$O$69:$O$292,Титульный!$K$69:$K$292,Q45,Титульный!$R$69:$R$292,R45)</f>
        <v>0</v>
      </c>
      <c r="H45" s="1708"/>
      <c r="I45" s="350"/>
      <c r="J45" s="1243">
        <f t="shared" ref="J45:J47" si="3">IFERROR(K45/I45,0)</f>
        <v>0</v>
      </c>
      <c r="K45" s="1704">
        <f>SUMIFS(Титульный!$P$69:$P$292,Титульный!$K$69:$K$292,Q45,Титульный!$R$69:$R$292,R45)</f>
        <v>0</v>
      </c>
      <c r="L45" s="1708"/>
      <c r="M45" s="1246"/>
      <c r="N45" s="1243">
        <f t="shared" ref="N45:N47" si="4">IFERROR(O45/M45,0)</f>
        <v>0</v>
      </c>
      <c r="O45" s="1704">
        <f>SUMIFS(Титульный!$Q$69:$Q$292,Титульный!$K$69:$K$292,Q45,Титульный!$R$69:$R$292,R45)</f>
        <v>0</v>
      </c>
      <c r="P45" s="1708"/>
      <c r="Q45" s="266">
        <v>2</v>
      </c>
      <c r="R45" s="266" t="s">
        <v>239</v>
      </c>
      <c r="S45" s="266"/>
      <c r="T45" s="149"/>
      <c r="Z45" s="137">
        <f t="shared" si="1"/>
        <v>0</v>
      </c>
    </row>
    <row r="46" spans="1:29" s="122" customFormat="1" ht="27.75" customHeight="1">
      <c r="A46" s="218">
        <v>244</v>
      </c>
      <c r="B46" s="216"/>
      <c r="C46" s="1823" t="s">
        <v>240</v>
      </c>
      <c r="D46" s="1880"/>
      <c r="E46" s="1247"/>
      <c r="F46" s="1241">
        <f t="shared" si="2"/>
        <v>0</v>
      </c>
      <c r="G46" s="1882">
        <f>SUMIFS(Титульный!$O$69:$O$292,Титульный!$K$69:$K$292,Q46,Титульный!$R$69:$R$292,R46)</f>
        <v>0</v>
      </c>
      <c r="H46" s="1883"/>
      <c r="I46" s="1247"/>
      <c r="J46" s="1241">
        <f t="shared" si="3"/>
        <v>0</v>
      </c>
      <c r="K46" s="1882">
        <f>SUMIFS(Титульный!$P$69:$P$292,Титульный!$K$69:$K$292,Q46,Титульный!$R$69:$R$292,R46)</f>
        <v>0</v>
      </c>
      <c r="L46" s="1883"/>
      <c r="M46" s="1240"/>
      <c r="N46" s="1241">
        <f t="shared" si="4"/>
        <v>0</v>
      </c>
      <c r="O46" s="1882">
        <f>SUMIFS(Титульный!$Q$69:$Q$292,Титульный!$K$69:$K$292,Q46,Титульный!$R$69:$R$292,R46)</f>
        <v>0</v>
      </c>
      <c r="P46" s="1883"/>
      <c r="Q46" s="266">
        <v>2</v>
      </c>
      <c r="R46" s="266" t="s">
        <v>240</v>
      </c>
      <c r="S46" s="266"/>
      <c r="T46" s="149"/>
      <c r="Z46" s="137">
        <f t="shared" si="1"/>
        <v>0</v>
      </c>
    </row>
    <row r="47" spans="1:29" s="122" customFormat="1" ht="27.75" customHeight="1">
      <c r="A47" s="243">
        <v>244</v>
      </c>
      <c r="B47" s="252"/>
      <c r="C47" s="1903" t="s">
        <v>618</v>
      </c>
      <c r="D47" s="1796"/>
      <c r="E47" s="1250"/>
      <c r="F47" s="1251">
        <f t="shared" si="2"/>
        <v>0</v>
      </c>
      <c r="G47" s="1792">
        <f>G48-SUM(G45:H46)</f>
        <v>0</v>
      </c>
      <c r="H47" s="1793"/>
      <c r="I47" s="1250"/>
      <c r="J47" s="1251">
        <f t="shared" si="3"/>
        <v>0</v>
      </c>
      <c r="K47" s="1640">
        <f>K48-SUM(K45:L46)</f>
        <v>0</v>
      </c>
      <c r="L47" s="1642"/>
      <c r="M47" s="1255"/>
      <c r="N47" s="1251">
        <f t="shared" si="4"/>
        <v>0</v>
      </c>
      <c r="O47" s="1640">
        <f>O48-SUM(O45:P46)</f>
        <v>0</v>
      </c>
      <c r="P47" s="1642"/>
      <c r="Q47" s="266"/>
      <c r="R47" s="266"/>
      <c r="S47" s="266"/>
      <c r="T47" s="149"/>
      <c r="Z47" s="137">
        <f t="shared" si="1"/>
        <v>0</v>
      </c>
    </row>
    <row r="48" spans="1:29" s="267" customFormat="1" ht="27.75" customHeight="1">
      <c r="A48" s="263"/>
      <c r="B48" s="264"/>
      <c r="C48" s="1897" t="s">
        <v>554</v>
      </c>
      <c r="D48" s="1898"/>
      <c r="E48" s="729" t="s">
        <v>412</v>
      </c>
      <c r="F48" s="730" t="s">
        <v>412</v>
      </c>
      <c r="G48" s="1678">
        <f>SUMIFS(Титульный!$O$69:$O$292,Титульный!$K$69:$K$292,'КФО 2'!$Q48,Титульный!$L$69:$L$292,'КФО 2'!$R48,Титульный!$N$69:$N$292,'КФО 2'!$S48)</f>
        <v>0</v>
      </c>
      <c r="H48" s="1679">
        <f>SUMIFS(Титульный!$O$69:$O$292,Титульный!$K$69:$K$292,'КФО 2'!$Q48,Титульный!$L$69:$L$292,'КФО 2'!$R48,Титульный!$N$69:$N$292,'КФО 2'!$S48)</f>
        <v>0</v>
      </c>
      <c r="I48" s="729" t="s">
        <v>412</v>
      </c>
      <c r="J48" s="730" t="s">
        <v>412</v>
      </c>
      <c r="K48" s="1900">
        <f>SUMIFS(Титульный!$P$69:$P$292,
Титульный!$K$69:$K$292,'КФО 2'!$Q48,
Титульный!$L$69:$L$292,'КФО 2'!$R48,
Титульный!$N$69:$N$292,'КФО 2'!$S48)</f>
        <v>0</v>
      </c>
      <c r="L48" s="1679">
        <f>SUMIFS(Титульный!$P$69:$P$292,
Титульный!$K$69:$K$292,'КФО 2'!$Q48,
Титульный!$L$69:$L$292,'КФО 2'!$R48,
Титульный!$N$69:$N$292,'КФО 2'!$S48)</f>
        <v>0</v>
      </c>
      <c r="M48" s="733" t="s">
        <v>412</v>
      </c>
      <c r="N48" s="730" t="s">
        <v>412</v>
      </c>
      <c r="O48" s="1900">
        <f>SUMIFS(Титульный!$Q$69:$Q$292,
Титульный!$K$69:$K$292,'КФО 2'!$Q48,
Титульный!$L$69:$L$292,'КФО 2'!$R48,
Титульный!$N$69:$N$292,'КФО 2'!$S48)</f>
        <v>0</v>
      </c>
      <c r="P48" s="1679">
        <f>SUMIFS(Титульный!$Q$69:$Q$292,
Титульный!$K$69:$K$292,'КФО 2'!$Q48,
Титульный!$L$69:$L$292,'КФО 2'!$R48,
Титульный!$N$69:$N$292,'КФО 2'!$S48)</f>
        <v>0</v>
      </c>
      <c r="Q48" s="266">
        <v>2</v>
      </c>
      <c r="R48" s="266">
        <v>244</v>
      </c>
      <c r="S48" s="266">
        <v>224</v>
      </c>
      <c r="T48" s="266"/>
      <c r="Z48" s="137">
        <f t="shared" si="1"/>
        <v>0</v>
      </c>
    </row>
    <row r="49" spans="1:29" s="119" customFormat="1" ht="12" customHeight="1">
      <c r="B49" s="256"/>
      <c r="D49" s="143"/>
      <c r="E49" s="143"/>
      <c r="F49" s="143"/>
      <c r="G49" s="143"/>
      <c r="H49" s="143"/>
      <c r="I49" s="143"/>
      <c r="J49" s="143"/>
      <c r="K49" s="143"/>
      <c r="L49" s="143"/>
      <c r="M49" s="143"/>
      <c r="N49" s="143"/>
      <c r="O49" s="143"/>
      <c r="P49" s="143"/>
      <c r="Q49" s="272"/>
      <c r="R49" s="272"/>
      <c r="S49" s="272"/>
      <c r="T49" s="146"/>
      <c r="Z49" s="137">
        <f t="shared" si="1"/>
        <v>0</v>
      </c>
    </row>
    <row r="50" spans="1:29" s="144" customFormat="1" ht="12" hidden="1" customHeight="1">
      <c r="B50" s="256"/>
      <c r="Q50" s="272"/>
      <c r="R50" s="272"/>
      <c r="S50" s="272"/>
      <c r="T50" s="146"/>
      <c r="Z50" s="137">
        <f t="shared" si="1"/>
        <v>0</v>
      </c>
    </row>
    <row r="51" spans="1:29" s="144" customFormat="1" ht="12" hidden="1" customHeight="1">
      <c r="B51" s="256"/>
      <c r="Q51" s="272"/>
      <c r="R51" s="272"/>
      <c r="S51" s="272"/>
      <c r="T51" s="146"/>
      <c r="Z51" s="137">
        <f t="shared" si="1"/>
        <v>0</v>
      </c>
    </row>
    <row r="52" spans="1:29" s="215" customFormat="1" ht="27.75" customHeight="1">
      <c r="A52" s="1643" t="s">
        <v>577</v>
      </c>
      <c r="B52" s="1643"/>
      <c r="C52" s="1643"/>
      <c r="D52" s="1643"/>
      <c r="E52" s="1643"/>
      <c r="F52" s="1643"/>
      <c r="G52" s="1643"/>
      <c r="H52" s="1643"/>
      <c r="I52" s="1643"/>
      <c r="J52" s="1643"/>
      <c r="K52" s="1643"/>
      <c r="L52" s="1643"/>
      <c r="M52" s="1643"/>
      <c r="N52" s="1643"/>
      <c r="O52" s="1643"/>
      <c r="P52" s="1643"/>
      <c r="Q52" s="266"/>
      <c r="R52" s="266"/>
      <c r="S52" s="266"/>
      <c r="T52" s="214"/>
      <c r="Z52" s="137">
        <f t="shared" si="1"/>
        <v>0</v>
      </c>
    </row>
    <row r="53" spans="1:29" s="119" customFormat="1" ht="12" customHeight="1">
      <c r="B53" s="256"/>
      <c r="P53" s="143"/>
      <c r="Q53" s="272"/>
      <c r="R53" s="272"/>
      <c r="S53" s="272"/>
      <c r="T53" s="146"/>
      <c r="Z53" s="137">
        <f t="shared" si="1"/>
        <v>0</v>
      </c>
    </row>
    <row r="54" spans="1:29" s="119" customFormat="1" ht="33" customHeight="1">
      <c r="A54" s="1687" t="s">
        <v>541</v>
      </c>
      <c r="B54" s="1651" t="s">
        <v>430</v>
      </c>
      <c r="C54" s="1892" t="s">
        <v>553</v>
      </c>
      <c r="D54" s="1696"/>
      <c r="E54" s="1858" t="s">
        <v>1114</v>
      </c>
      <c r="F54" s="1859"/>
      <c r="G54" s="1859"/>
      <c r="H54" s="1887"/>
      <c r="I54" s="1856" t="s">
        <v>1115</v>
      </c>
      <c r="J54" s="1854"/>
      <c r="K54" s="1854"/>
      <c r="L54" s="1855"/>
      <c r="M54" s="1853" t="s">
        <v>1116</v>
      </c>
      <c r="N54" s="1854"/>
      <c r="O54" s="1854"/>
      <c r="P54" s="1855"/>
      <c r="Q54" s="272"/>
      <c r="R54" s="272"/>
      <c r="S54" s="272"/>
      <c r="T54" s="146"/>
      <c r="Z54" s="137">
        <f t="shared" si="1"/>
        <v>0</v>
      </c>
      <c r="AA54" s="137">
        <f>SUM(G57:G96)-SUBTOTAL(109,G57:G96)</f>
        <v>0</v>
      </c>
      <c r="AB54" s="137">
        <f>SUM(K57:L96)-SUBTOTAL(109,K57:L96)</f>
        <v>0</v>
      </c>
      <c r="AC54" s="137">
        <f>SUM(O57:P96)-SUBTOTAL(109,O57:P96)</f>
        <v>0</v>
      </c>
    </row>
    <row r="55" spans="1:29" s="119" customFormat="1" ht="38.25">
      <c r="A55" s="1688"/>
      <c r="B55" s="1684"/>
      <c r="C55" s="1893"/>
      <c r="D55" s="1894"/>
      <c r="E55" s="169" t="s">
        <v>578</v>
      </c>
      <c r="F55" s="170" t="s">
        <v>579</v>
      </c>
      <c r="G55" s="1838" t="s">
        <v>496</v>
      </c>
      <c r="H55" s="1839"/>
      <c r="I55" s="169" t="s">
        <v>578</v>
      </c>
      <c r="J55" s="170" t="s">
        <v>579</v>
      </c>
      <c r="K55" s="1838" t="s">
        <v>496</v>
      </c>
      <c r="L55" s="1839"/>
      <c r="M55" s="169" t="s">
        <v>578</v>
      </c>
      <c r="N55" s="170" t="s">
        <v>579</v>
      </c>
      <c r="O55" s="1838" t="s">
        <v>496</v>
      </c>
      <c r="P55" s="1839"/>
      <c r="Q55" s="272"/>
      <c r="R55" s="272"/>
      <c r="S55" s="272"/>
      <c r="T55" s="146"/>
      <c r="V55" s="120"/>
      <c r="Z55" s="137">
        <f t="shared" si="1"/>
        <v>0</v>
      </c>
    </row>
    <row r="56" spans="1:29" s="195" customFormat="1" ht="12.75">
      <c r="A56" s="153" t="s">
        <v>6</v>
      </c>
      <c r="B56" s="380" t="s">
        <v>7</v>
      </c>
      <c r="C56" s="1895" t="s">
        <v>8</v>
      </c>
      <c r="D56" s="1896"/>
      <c r="E56" s="374">
        <v>4</v>
      </c>
      <c r="F56" s="371">
        <v>5</v>
      </c>
      <c r="G56" s="1653" t="s">
        <v>716</v>
      </c>
      <c r="H56" s="1654"/>
      <c r="I56" s="374">
        <v>7</v>
      </c>
      <c r="J56" s="371">
        <v>8</v>
      </c>
      <c r="K56" s="1653" t="s">
        <v>717</v>
      </c>
      <c r="L56" s="1654"/>
      <c r="M56" s="374" t="s">
        <v>413</v>
      </c>
      <c r="N56" s="371" t="s">
        <v>418</v>
      </c>
      <c r="O56" s="1653" t="s">
        <v>499</v>
      </c>
      <c r="P56" s="1654"/>
      <c r="Q56" s="389"/>
      <c r="R56" s="389"/>
      <c r="S56" s="389"/>
      <c r="T56" s="146"/>
      <c r="Z56" s="137">
        <f t="shared" si="1"/>
        <v>0</v>
      </c>
    </row>
    <row r="57" spans="1:29" s="122" customFormat="1" ht="27.75" customHeight="1">
      <c r="A57" s="225">
        <v>244</v>
      </c>
      <c r="B57" s="226"/>
      <c r="C57" s="1821" t="s">
        <v>1105</v>
      </c>
      <c r="D57" s="1899"/>
      <c r="E57" s="1247"/>
      <c r="F57" s="1241">
        <f t="shared" ref="F57:F96" si="5">IFERROR(G57/E57,0)</f>
        <v>0</v>
      </c>
      <c r="G57" s="1638"/>
      <c r="H57" s="1641"/>
      <c r="I57" s="1247"/>
      <c r="J57" s="1241">
        <f t="shared" ref="J57:J96" si="6">IFERROR(K57/I57,0)</f>
        <v>0</v>
      </c>
      <c r="K57" s="1638"/>
      <c r="L57" s="1641"/>
      <c r="M57" s="1247"/>
      <c r="N57" s="1241">
        <f t="shared" ref="N57:N96" si="7">IFERROR(O57/M57,0)</f>
        <v>0</v>
      </c>
      <c r="O57" s="1638"/>
      <c r="P57" s="1641"/>
      <c r="Q57" s="266"/>
      <c r="R57" s="266"/>
      <c r="S57" s="266"/>
      <c r="T57" s="149"/>
      <c r="Z57" s="137">
        <f t="shared" si="1"/>
        <v>0</v>
      </c>
    </row>
    <row r="58" spans="1:29" s="122" customFormat="1" ht="27.75" customHeight="1">
      <c r="A58" s="218">
        <v>244</v>
      </c>
      <c r="B58" s="217"/>
      <c r="C58" s="1823" t="s">
        <v>1103</v>
      </c>
      <c r="D58" s="1891"/>
      <c r="E58" s="1247"/>
      <c r="F58" s="1241">
        <f t="shared" si="5"/>
        <v>0</v>
      </c>
      <c r="G58" s="1882"/>
      <c r="H58" s="1883"/>
      <c r="I58" s="1247"/>
      <c r="J58" s="1241">
        <f t="shared" si="6"/>
        <v>0</v>
      </c>
      <c r="K58" s="1882"/>
      <c r="L58" s="1883"/>
      <c r="M58" s="1247"/>
      <c r="N58" s="1241">
        <f t="shared" si="7"/>
        <v>0</v>
      </c>
      <c r="O58" s="1882"/>
      <c r="P58" s="1883"/>
      <c r="Q58" s="266"/>
      <c r="R58" s="266"/>
      <c r="S58" s="266"/>
      <c r="T58" s="149"/>
      <c r="Z58" s="137">
        <f t="shared" si="1"/>
        <v>0</v>
      </c>
    </row>
    <row r="59" spans="1:29" s="122" customFormat="1" ht="27.75" customHeight="1">
      <c r="A59" s="218">
        <v>244</v>
      </c>
      <c r="B59" s="217"/>
      <c r="C59" s="1823" t="s">
        <v>623</v>
      </c>
      <c r="D59" s="1891"/>
      <c r="E59" s="1247"/>
      <c r="F59" s="1241">
        <f t="shared" si="5"/>
        <v>0</v>
      </c>
      <c r="G59" s="1882"/>
      <c r="H59" s="1883"/>
      <c r="I59" s="1247"/>
      <c r="J59" s="1241">
        <f t="shared" si="6"/>
        <v>0</v>
      </c>
      <c r="K59" s="1882"/>
      <c r="L59" s="1883"/>
      <c r="M59" s="1247"/>
      <c r="N59" s="1241">
        <f t="shared" si="7"/>
        <v>0</v>
      </c>
      <c r="O59" s="1882"/>
      <c r="P59" s="1883"/>
      <c r="Q59" s="266"/>
      <c r="R59" s="266"/>
      <c r="S59" s="266"/>
      <c r="T59" s="149"/>
      <c r="Z59" s="137">
        <f t="shared" si="1"/>
        <v>0</v>
      </c>
    </row>
    <row r="60" spans="1:29" s="122" customFormat="1" ht="27.75" customHeight="1">
      <c r="A60" s="218">
        <v>244</v>
      </c>
      <c r="B60" s="217"/>
      <c r="C60" s="1823" t="s">
        <v>624</v>
      </c>
      <c r="D60" s="1891"/>
      <c r="E60" s="1247"/>
      <c r="F60" s="1241">
        <f t="shared" si="5"/>
        <v>0</v>
      </c>
      <c r="G60" s="1882"/>
      <c r="H60" s="1883"/>
      <c r="I60" s="1247"/>
      <c r="J60" s="1241">
        <f t="shared" si="6"/>
        <v>0</v>
      </c>
      <c r="K60" s="1882"/>
      <c r="L60" s="1883"/>
      <c r="M60" s="1247"/>
      <c r="N60" s="1241">
        <f t="shared" si="7"/>
        <v>0</v>
      </c>
      <c r="O60" s="1882"/>
      <c r="P60" s="1883"/>
      <c r="Q60" s="266"/>
      <c r="R60" s="266"/>
      <c r="S60" s="266"/>
      <c r="T60" s="149"/>
      <c r="Z60" s="137">
        <f t="shared" si="1"/>
        <v>0</v>
      </c>
    </row>
    <row r="61" spans="1:29" s="122" customFormat="1" ht="27.75" customHeight="1">
      <c r="A61" s="218">
        <v>244</v>
      </c>
      <c r="B61" s="217"/>
      <c r="C61" s="1823" t="s">
        <v>625</v>
      </c>
      <c r="D61" s="1891"/>
      <c r="E61" s="1247"/>
      <c r="F61" s="1241">
        <f t="shared" si="5"/>
        <v>0</v>
      </c>
      <c r="G61" s="1882"/>
      <c r="H61" s="1883"/>
      <c r="I61" s="1247"/>
      <c r="J61" s="1241">
        <f t="shared" si="6"/>
        <v>0</v>
      </c>
      <c r="K61" s="1882"/>
      <c r="L61" s="1883"/>
      <c r="M61" s="1247"/>
      <c r="N61" s="1241">
        <f t="shared" si="7"/>
        <v>0</v>
      </c>
      <c r="O61" s="1882"/>
      <c r="P61" s="1883"/>
      <c r="Q61" s="266"/>
      <c r="R61" s="266"/>
      <c r="S61" s="266"/>
      <c r="T61" s="149"/>
      <c r="Z61" s="137">
        <f t="shared" si="1"/>
        <v>0</v>
      </c>
    </row>
    <row r="62" spans="1:29" s="122" customFormat="1" ht="27.75" customHeight="1">
      <c r="A62" s="218">
        <v>244</v>
      </c>
      <c r="B62" s="217"/>
      <c r="C62" s="1823" t="s">
        <v>626</v>
      </c>
      <c r="D62" s="1891"/>
      <c r="E62" s="1247"/>
      <c r="F62" s="1241">
        <f t="shared" si="5"/>
        <v>0</v>
      </c>
      <c r="G62" s="1882"/>
      <c r="H62" s="1883"/>
      <c r="I62" s="1247"/>
      <c r="J62" s="1241">
        <f t="shared" si="6"/>
        <v>0</v>
      </c>
      <c r="K62" s="1882"/>
      <c r="L62" s="1883"/>
      <c r="M62" s="1247"/>
      <c r="N62" s="1241">
        <f t="shared" si="7"/>
        <v>0</v>
      </c>
      <c r="O62" s="1882"/>
      <c r="P62" s="1883"/>
      <c r="Q62" s="266"/>
      <c r="R62" s="266"/>
      <c r="S62" s="266"/>
      <c r="T62" s="149"/>
      <c r="Z62" s="137">
        <f t="shared" si="1"/>
        <v>0</v>
      </c>
    </row>
    <row r="63" spans="1:29" s="122" customFormat="1" ht="27.75" customHeight="1">
      <c r="A63" s="218">
        <v>244</v>
      </c>
      <c r="B63" s="217"/>
      <c r="C63" s="1823" t="s">
        <v>627</v>
      </c>
      <c r="D63" s="1891"/>
      <c r="E63" s="1247"/>
      <c r="F63" s="1241">
        <f t="shared" si="5"/>
        <v>0</v>
      </c>
      <c r="G63" s="1882"/>
      <c r="H63" s="1883"/>
      <c r="I63" s="1247"/>
      <c r="J63" s="1241">
        <f t="shared" si="6"/>
        <v>0</v>
      </c>
      <c r="K63" s="1882"/>
      <c r="L63" s="1883"/>
      <c r="M63" s="1247"/>
      <c r="N63" s="1241">
        <f t="shared" si="7"/>
        <v>0</v>
      </c>
      <c r="O63" s="1882"/>
      <c r="P63" s="1883"/>
      <c r="Q63" s="266"/>
      <c r="R63" s="266"/>
      <c r="S63" s="266"/>
      <c r="T63" s="149"/>
      <c r="Z63" s="137">
        <f t="shared" si="1"/>
        <v>0</v>
      </c>
    </row>
    <row r="64" spans="1:29" s="122" customFormat="1" ht="27.75" customHeight="1">
      <c r="A64" s="218">
        <v>244</v>
      </c>
      <c r="B64" s="217"/>
      <c r="C64" s="1823" t="s">
        <v>1099</v>
      </c>
      <c r="D64" s="1891"/>
      <c r="E64" s="1247"/>
      <c r="F64" s="1241">
        <f t="shared" si="5"/>
        <v>0</v>
      </c>
      <c r="G64" s="1882"/>
      <c r="H64" s="1883"/>
      <c r="I64" s="1247"/>
      <c r="J64" s="1241">
        <f t="shared" si="6"/>
        <v>0</v>
      </c>
      <c r="K64" s="1882"/>
      <c r="L64" s="1883"/>
      <c r="M64" s="1247"/>
      <c r="N64" s="1241">
        <f t="shared" si="7"/>
        <v>0</v>
      </c>
      <c r="O64" s="1882"/>
      <c r="P64" s="1883"/>
      <c r="Q64" s="266"/>
      <c r="R64" s="266"/>
      <c r="S64" s="266"/>
      <c r="T64" s="149"/>
      <c r="Z64" s="137">
        <f t="shared" si="1"/>
        <v>0</v>
      </c>
    </row>
    <row r="65" spans="1:26" s="122" customFormat="1" ht="27.75" customHeight="1">
      <c r="A65" s="218">
        <v>244</v>
      </c>
      <c r="B65" s="217"/>
      <c r="C65" s="1823" t="s">
        <v>629</v>
      </c>
      <c r="D65" s="1891"/>
      <c r="E65" s="1247"/>
      <c r="F65" s="1241">
        <f t="shared" si="5"/>
        <v>0</v>
      </c>
      <c r="G65" s="1882"/>
      <c r="H65" s="1883"/>
      <c r="I65" s="1247"/>
      <c r="J65" s="1241">
        <f t="shared" si="6"/>
        <v>0</v>
      </c>
      <c r="K65" s="1882"/>
      <c r="L65" s="1883"/>
      <c r="M65" s="1247"/>
      <c r="N65" s="1241">
        <f t="shared" si="7"/>
        <v>0</v>
      </c>
      <c r="O65" s="1882"/>
      <c r="P65" s="1883"/>
      <c r="Q65" s="266"/>
      <c r="R65" s="266"/>
      <c r="S65" s="266"/>
      <c r="T65" s="149"/>
      <c r="Z65" s="137">
        <f t="shared" si="1"/>
        <v>0</v>
      </c>
    </row>
    <row r="66" spans="1:26" s="122" customFormat="1" ht="27.75" customHeight="1">
      <c r="A66" s="218">
        <v>244</v>
      </c>
      <c r="B66" s="217"/>
      <c r="C66" s="1823" t="s">
        <v>630</v>
      </c>
      <c r="D66" s="1891"/>
      <c r="E66" s="1247"/>
      <c r="F66" s="1241">
        <f t="shared" si="5"/>
        <v>0</v>
      </c>
      <c r="G66" s="1882"/>
      <c r="H66" s="1883"/>
      <c r="I66" s="1247"/>
      <c r="J66" s="1241">
        <f t="shared" si="6"/>
        <v>0</v>
      </c>
      <c r="K66" s="1882"/>
      <c r="L66" s="1883"/>
      <c r="M66" s="1247"/>
      <c r="N66" s="1241">
        <f t="shared" si="7"/>
        <v>0</v>
      </c>
      <c r="O66" s="1882"/>
      <c r="P66" s="1883"/>
      <c r="Q66" s="266"/>
      <c r="R66" s="266"/>
      <c r="S66" s="266"/>
      <c r="T66" s="149"/>
      <c r="Z66" s="137">
        <f t="shared" si="1"/>
        <v>0</v>
      </c>
    </row>
    <row r="67" spans="1:26" s="122" customFormat="1" ht="27.75" customHeight="1">
      <c r="A67" s="218">
        <v>244</v>
      </c>
      <c r="B67" s="217"/>
      <c r="C67" s="1823" t="s">
        <v>631</v>
      </c>
      <c r="D67" s="1891"/>
      <c r="E67" s="1247"/>
      <c r="F67" s="1241">
        <f t="shared" si="5"/>
        <v>0</v>
      </c>
      <c r="G67" s="1882"/>
      <c r="H67" s="1883"/>
      <c r="I67" s="1247"/>
      <c r="J67" s="1241">
        <f t="shared" si="6"/>
        <v>0</v>
      </c>
      <c r="K67" s="1882"/>
      <c r="L67" s="1883"/>
      <c r="M67" s="1247"/>
      <c r="N67" s="1241">
        <f t="shared" si="7"/>
        <v>0</v>
      </c>
      <c r="O67" s="1882"/>
      <c r="P67" s="1883"/>
      <c r="Q67" s="266"/>
      <c r="R67" s="266"/>
      <c r="S67" s="266"/>
      <c r="T67" s="149"/>
      <c r="Z67" s="137">
        <f t="shared" si="1"/>
        <v>0</v>
      </c>
    </row>
    <row r="68" spans="1:26" s="122" customFormat="1" ht="27.75" customHeight="1">
      <c r="A68" s="218">
        <v>244</v>
      </c>
      <c r="B68" s="217"/>
      <c r="C68" s="1823" t="s">
        <v>632</v>
      </c>
      <c r="D68" s="1891"/>
      <c r="E68" s="1247"/>
      <c r="F68" s="1241">
        <f t="shared" si="5"/>
        <v>0</v>
      </c>
      <c r="G68" s="1882"/>
      <c r="H68" s="1883"/>
      <c r="I68" s="1247"/>
      <c r="J68" s="1241">
        <f t="shared" si="6"/>
        <v>0</v>
      </c>
      <c r="K68" s="1882"/>
      <c r="L68" s="1883"/>
      <c r="M68" s="1247"/>
      <c r="N68" s="1241">
        <f t="shared" si="7"/>
        <v>0</v>
      </c>
      <c r="O68" s="1882"/>
      <c r="P68" s="1883"/>
      <c r="Q68" s="266"/>
      <c r="R68" s="266"/>
      <c r="S68" s="266"/>
      <c r="T68" s="149"/>
      <c r="Z68" s="137">
        <f t="shared" si="1"/>
        <v>0</v>
      </c>
    </row>
    <row r="69" spans="1:26" s="122" customFormat="1" ht="27.75" customHeight="1">
      <c r="A69" s="218">
        <v>244</v>
      </c>
      <c r="B69" s="217"/>
      <c r="C69" s="1823" t="s">
        <v>633</v>
      </c>
      <c r="D69" s="1891"/>
      <c r="E69" s="1247"/>
      <c r="F69" s="1241">
        <f t="shared" si="5"/>
        <v>0</v>
      </c>
      <c r="G69" s="1882"/>
      <c r="H69" s="1883"/>
      <c r="I69" s="1247"/>
      <c r="J69" s="1241">
        <f t="shared" si="6"/>
        <v>0</v>
      </c>
      <c r="K69" s="1882"/>
      <c r="L69" s="1883"/>
      <c r="M69" s="1247"/>
      <c r="N69" s="1241">
        <f t="shared" si="7"/>
        <v>0</v>
      </c>
      <c r="O69" s="1882"/>
      <c r="P69" s="1883"/>
      <c r="Q69" s="266"/>
      <c r="R69" s="266"/>
      <c r="S69" s="266"/>
      <c r="T69" s="149"/>
      <c r="Z69" s="137">
        <f t="shared" ref="Z69:Z100" si="8">SUM(AA69:AW69)</f>
        <v>0</v>
      </c>
    </row>
    <row r="70" spans="1:26" s="122" customFormat="1" ht="27.75" customHeight="1">
      <c r="A70" s="218">
        <v>244</v>
      </c>
      <c r="B70" s="217"/>
      <c r="C70" s="1823" t="s">
        <v>634</v>
      </c>
      <c r="D70" s="1891"/>
      <c r="E70" s="1247"/>
      <c r="F70" s="1241">
        <f t="shared" si="5"/>
        <v>0</v>
      </c>
      <c r="G70" s="1882"/>
      <c r="H70" s="1883"/>
      <c r="I70" s="1247"/>
      <c r="J70" s="1241">
        <f t="shared" si="6"/>
        <v>0</v>
      </c>
      <c r="K70" s="1882"/>
      <c r="L70" s="1883"/>
      <c r="M70" s="1247"/>
      <c r="N70" s="1241">
        <f t="shared" si="7"/>
        <v>0</v>
      </c>
      <c r="O70" s="1882"/>
      <c r="P70" s="1883"/>
      <c r="Q70" s="266"/>
      <c r="R70" s="266"/>
      <c r="S70" s="266"/>
      <c r="T70" s="149"/>
      <c r="Z70" s="137">
        <f t="shared" si="8"/>
        <v>0</v>
      </c>
    </row>
    <row r="71" spans="1:26" s="122" customFormat="1" ht="27.75" customHeight="1">
      <c r="A71" s="218">
        <v>244</v>
      </c>
      <c r="B71" s="217"/>
      <c r="C71" s="1823" t="s">
        <v>635</v>
      </c>
      <c r="D71" s="1891"/>
      <c r="E71" s="1247"/>
      <c r="F71" s="1241">
        <f t="shared" si="5"/>
        <v>0</v>
      </c>
      <c r="G71" s="1882"/>
      <c r="H71" s="1883"/>
      <c r="I71" s="1247"/>
      <c r="J71" s="1241">
        <f t="shared" si="6"/>
        <v>0</v>
      </c>
      <c r="K71" s="1882"/>
      <c r="L71" s="1883"/>
      <c r="M71" s="1247"/>
      <c r="N71" s="1241">
        <f t="shared" si="7"/>
        <v>0</v>
      </c>
      <c r="O71" s="1882"/>
      <c r="P71" s="1883"/>
      <c r="Q71" s="266"/>
      <c r="R71" s="266"/>
      <c r="S71" s="266"/>
      <c r="T71" s="149"/>
      <c r="Z71" s="137">
        <f t="shared" si="8"/>
        <v>0</v>
      </c>
    </row>
    <row r="72" spans="1:26" s="122" customFormat="1" ht="27.75" customHeight="1">
      <c r="A72" s="218">
        <v>244</v>
      </c>
      <c r="B72" s="217"/>
      <c r="C72" s="1823" t="s">
        <v>636</v>
      </c>
      <c r="D72" s="1891"/>
      <c r="E72" s="1247"/>
      <c r="F72" s="1241">
        <f t="shared" si="5"/>
        <v>0</v>
      </c>
      <c r="G72" s="1882"/>
      <c r="H72" s="1883"/>
      <c r="I72" s="1247"/>
      <c r="J72" s="1241">
        <f t="shared" si="6"/>
        <v>0</v>
      </c>
      <c r="K72" s="1882"/>
      <c r="L72" s="1883"/>
      <c r="M72" s="1247"/>
      <c r="N72" s="1241">
        <f t="shared" si="7"/>
        <v>0</v>
      </c>
      <c r="O72" s="1882"/>
      <c r="P72" s="1883"/>
      <c r="Q72" s="266"/>
      <c r="R72" s="266"/>
      <c r="S72" s="266"/>
      <c r="T72" s="149"/>
      <c r="Z72" s="137">
        <f t="shared" si="8"/>
        <v>0</v>
      </c>
    </row>
    <row r="73" spans="1:26" s="122" customFormat="1" ht="27.75" customHeight="1">
      <c r="A73" s="218">
        <v>244</v>
      </c>
      <c r="B73" s="217"/>
      <c r="C73" s="1823" t="s">
        <v>637</v>
      </c>
      <c r="D73" s="1891"/>
      <c r="E73" s="1247"/>
      <c r="F73" s="1241">
        <f t="shared" si="5"/>
        <v>0</v>
      </c>
      <c r="G73" s="1882"/>
      <c r="H73" s="1883"/>
      <c r="I73" s="1247"/>
      <c r="J73" s="1241">
        <f t="shared" si="6"/>
        <v>0</v>
      </c>
      <c r="K73" s="1882"/>
      <c r="L73" s="1883"/>
      <c r="M73" s="1247"/>
      <c r="N73" s="1241">
        <f t="shared" si="7"/>
        <v>0</v>
      </c>
      <c r="O73" s="1882"/>
      <c r="P73" s="1883"/>
      <c r="Q73" s="266"/>
      <c r="R73" s="266"/>
      <c r="S73" s="266"/>
      <c r="T73" s="149"/>
      <c r="Z73" s="137">
        <f t="shared" si="8"/>
        <v>0</v>
      </c>
    </row>
    <row r="74" spans="1:26" s="122" customFormat="1" ht="27.75" customHeight="1">
      <c r="A74" s="218">
        <v>244</v>
      </c>
      <c r="B74" s="217"/>
      <c r="C74" s="1823" t="s">
        <v>638</v>
      </c>
      <c r="D74" s="1891"/>
      <c r="E74" s="1247"/>
      <c r="F74" s="1241">
        <f t="shared" si="5"/>
        <v>0</v>
      </c>
      <c r="G74" s="1882"/>
      <c r="H74" s="1883"/>
      <c r="I74" s="1247"/>
      <c r="J74" s="1241">
        <f t="shared" si="6"/>
        <v>0</v>
      </c>
      <c r="K74" s="1882"/>
      <c r="L74" s="1883"/>
      <c r="M74" s="1247"/>
      <c r="N74" s="1241">
        <f t="shared" si="7"/>
        <v>0</v>
      </c>
      <c r="O74" s="1882"/>
      <c r="P74" s="1883"/>
      <c r="Q74" s="266"/>
      <c r="R74" s="266"/>
      <c r="S74" s="266"/>
      <c r="T74" s="149"/>
      <c r="Z74" s="137">
        <f t="shared" si="8"/>
        <v>0</v>
      </c>
    </row>
    <row r="75" spans="1:26" s="122" customFormat="1" ht="27.75" customHeight="1">
      <c r="A75" s="218">
        <v>244</v>
      </c>
      <c r="B75" s="217"/>
      <c r="C75" s="1823" t="s">
        <v>639</v>
      </c>
      <c r="D75" s="1891"/>
      <c r="E75" s="1247"/>
      <c r="F75" s="1241">
        <f t="shared" si="5"/>
        <v>0</v>
      </c>
      <c r="G75" s="1882"/>
      <c r="H75" s="1883"/>
      <c r="I75" s="1247"/>
      <c r="J75" s="1241">
        <f t="shared" si="6"/>
        <v>0</v>
      </c>
      <c r="K75" s="1882"/>
      <c r="L75" s="1883"/>
      <c r="M75" s="1247"/>
      <c r="N75" s="1241">
        <f t="shared" si="7"/>
        <v>0</v>
      </c>
      <c r="O75" s="1882"/>
      <c r="P75" s="1883"/>
      <c r="Q75" s="266"/>
      <c r="R75" s="266"/>
      <c r="S75" s="266"/>
      <c r="T75" s="149"/>
      <c r="Z75" s="137">
        <f t="shared" si="8"/>
        <v>0</v>
      </c>
    </row>
    <row r="76" spans="1:26" s="122" customFormat="1" ht="27.75" customHeight="1">
      <c r="A76" s="218">
        <v>244</v>
      </c>
      <c r="B76" s="217"/>
      <c r="C76" s="1823" t="s">
        <v>640</v>
      </c>
      <c r="D76" s="1891"/>
      <c r="E76" s="1247"/>
      <c r="F76" s="1241">
        <f t="shared" si="5"/>
        <v>0</v>
      </c>
      <c r="G76" s="1882"/>
      <c r="H76" s="1883"/>
      <c r="I76" s="1247"/>
      <c r="J76" s="1241">
        <f t="shared" si="6"/>
        <v>0</v>
      </c>
      <c r="K76" s="1882"/>
      <c r="L76" s="1883"/>
      <c r="M76" s="1247"/>
      <c r="N76" s="1241">
        <f t="shared" si="7"/>
        <v>0</v>
      </c>
      <c r="O76" s="1882"/>
      <c r="P76" s="1883"/>
      <c r="Q76" s="266"/>
      <c r="R76" s="266"/>
      <c r="S76" s="266"/>
      <c r="T76" s="149"/>
      <c r="Z76" s="137">
        <f t="shared" si="8"/>
        <v>0</v>
      </c>
    </row>
    <row r="77" spans="1:26" s="122" customFormat="1" ht="27.75" customHeight="1">
      <c r="A77" s="218">
        <v>244</v>
      </c>
      <c r="B77" s="217"/>
      <c r="C77" s="1823" t="s">
        <v>641</v>
      </c>
      <c r="D77" s="1891"/>
      <c r="E77" s="1247"/>
      <c r="F77" s="1241">
        <f t="shared" si="5"/>
        <v>0</v>
      </c>
      <c r="G77" s="1882"/>
      <c r="H77" s="1883"/>
      <c r="I77" s="1247"/>
      <c r="J77" s="1241">
        <f t="shared" si="6"/>
        <v>0</v>
      </c>
      <c r="K77" s="1882"/>
      <c r="L77" s="1883"/>
      <c r="M77" s="1247"/>
      <c r="N77" s="1241">
        <f t="shared" si="7"/>
        <v>0</v>
      </c>
      <c r="O77" s="1882"/>
      <c r="P77" s="1883"/>
      <c r="Q77" s="266"/>
      <c r="R77" s="266"/>
      <c r="S77" s="266"/>
      <c r="T77" s="149"/>
      <c r="Z77" s="137">
        <f t="shared" si="8"/>
        <v>0</v>
      </c>
    </row>
    <row r="78" spans="1:26" s="122" customFormat="1" ht="27.75" customHeight="1">
      <c r="A78" s="218">
        <v>244</v>
      </c>
      <c r="B78" s="217"/>
      <c r="C78" s="1823" t="s">
        <v>642</v>
      </c>
      <c r="D78" s="1891"/>
      <c r="E78" s="1247"/>
      <c r="F78" s="1241">
        <f t="shared" si="5"/>
        <v>0</v>
      </c>
      <c r="G78" s="1882"/>
      <c r="H78" s="1883"/>
      <c r="I78" s="1247"/>
      <c r="J78" s="1241">
        <f t="shared" si="6"/>
        <v>0</v>
      </c>
      <c r="K78" s="1882"/>
      <c r="L78" s="1883"/>
      <c r="M78" s="1247"/>
      <c r="N78" s="1241">
        <f t="shared" si="7"/>
        <v>0</v>
      </c>
      <c r="O78" s="1882"/>
      <c r="P78" s="1883"/>
      <c r="Q78" s="266"/>
      <c r="R78" s="266"/>
      <c r="S78" s="266"/>
      <c r="T78" s="149"/>
      <c r="Z78" s="137">
        <f t="shared" si="8"/>
        <v>0</v>
      </c>
    </row>
    <row r="79" spans="1:26" s="122" customFormat="1" ht="27.75" customHeight="1">
      <c r="A79" s="218">
        <v>244</v>
      </c>
      <c r="B79" s="217"/>
      <c r="C79" s="1823" t="s">
        <v>643</v>
      </c>
      <c r="D79" s="1891"/>
      <c r="E79" s="1247"/>
      <c r="F79" s="1241">
        <f t="shared" si="5"/>
        <v>0</v>
      </c>
      <c r="G79" s="1882"/>
      <c r="H79" s="1883"/>
      <c r="I79" s="1247"/>
      <c r="J79" s="1241">
        <f t="shared" si="6"/>
        <v>0</v>
      </c>
      <c r="K79" s="1882"/>
      <c r="L79" s="1883"/>
      <c r="M79" s="1247"/>
      <c r="N79" s="1241">
        <f t="shared" si="7"/>
        <v>0</v>
      </c>
      <c r="O79" s="1882"/>
      <c r="P79" s="1883"/>
      <c r="Q79" s="266"/>
      <c r="R79" s="266"/>
      <c r="S79" s="266"/>
      <c r="T79" s="149"/>
      <c r="Z79" s="137">
        <f t="shared" si="8"/>
        <v>0</v>
      </c>
    </row>
    <row r="80" spans="1:26" s="122" customFormat="1" ht="27.75" customHeight="1">
      <c r="A80" s="218">
        <v>244</v>
      </c>
      <c r="B80" s="217"/>
      <c r="C80" s="1823" t="s">
        <v>644</v>
      </c>
      <c r="D80" s="1891"/>
      <c r="E80" s="1247"/>
      <c r="F80" s="1241">
        <f t="shared" si="5"/>
        <v>0</v>
      </c>
      <c r="G80" s="1882"/>
      <c r="H80" s="1883"/>
      <c r="I80" s="1247"/>
      <c r="J80" s="1241">
        <f t="shared" si="6"/>
        <v>0</v>
      </c>
      <c r="K80" s="1882"/>
      <c r="L80" s="1883"/>
      <c r="M80" s="1247"/>
      <c r="N80" s="1241">
        <f t="shared" si="7"/>
        <v>0</v>
      </c>
      <c r="O80" s="1882"/>
      <c r="P80" s="1883"/>
      <c r="Q80" s="266"/>
      <c r="R80" s="266"/>
      <c r="S80" s="266"/>
      <c r="T80" s="149"/>
      <c r="Z80" s="137">
        <f t="shared" si="8"/>
        <v>0</v>
      </c>
    </row>
    <row r="81" spans="1:26" s="122" customFormat="1" ht="27.75" customHeight="1">
      <c r="A81" s="218">
        <v>244</v>
      </c>
      <c r="B81" s="217"/>
      <c r="C81" s="1823" t="s">
        <v>645</v>
      </c>
      <c r="D81" s="1891"/>
      <c r="E81" s="1247"/>
      <c r="F81" s="1241">
        <f t="shared" si="5"/>
        <v>0</v>
      </c>
      <c r="G81" s="1882"/>
      <c r="H81" s="1883"/>
      <c r="I81" s="1247"/>
      <c r="J81" s="1241">
        <f t="shared" si="6"/>
        <v>0</v>
      </c>
      <c r="K81" s="1882"/>
      <c r="L81" s="1883"/>
      <c r="M81" s="1247"/>
      <c r="N81" s="1241">
        <f t="shared" si="7"/>
        <v>0</v>
      </c>
      <c r="O81" s="1882"/>
      <c r="P81" s="1883"/>
      <c r="Q81" s="266"/>
      <c r="R81" s="266"/>
      <c r="S81" s="266"/>
      <c r="T81" s="149"/>
      <c r="Z81" s="137">
        <f t="shared" si="8"/>
        <v>0</v>
      </c>
    </row>
    <row r="82" spans="1:26" s="122" customFormat="1" ht="27.75" customHeight="1">
      <c r="A82" s="218">
        <v>244</v>
      </c>
      <c r="B82" s="217"/>
      <c r="C82" s="1823" t="s">
        <v>646</v>
      </c>
      <c r="D82" s="1891"/>
      <c r="E82" s="1247"/>
      <c r="F82" s="1241">
        <f t="shared" si="5"/>
        <v>0</v>
      </c>
      <c r="G82" s="1882"/>
      <c r="H82" s="1883"/>
      <c r="I82" s="1247"/>
      <c r="J82" s="1241">
        <f t="shared" si="6"/>
        <v>0</v>
      </c>
      <c r="K82" s="1882"/>
      <c r="L82" s="1883"/>
      <c r="M82" s="1247"/>
      <c r="N82" s="1241">
        <f t="shared" si="7"/>
        <v>0</v>
      </c>
      <c r="O82" s="1882"/>
      <c r="P82" s="1883"/>
      <c r="Q82" s="266"/>
      <c r="R82" s="266"/>
      <c r="S82" s="266"/>
      <c r="T82" s="149"/>
      <c r="Z82" s="137">
        <f t="shared" si="8"/>
        <v>0</v>
      </c>
    </row>
    <row r="83" spans="1:26" s="122" customFormat="1" ht="27.75" customHeight="1">
      <c r="A83" s="218">
        <v>244</v>
      </c>
      <c r="B83" s="217"/>
      <c r="C83" s="1823" t="s">
        <v>647</v>
      </c>
      <c r="D83" s="1891"/>
      <c r="E83" s="1247"/>
      <c r="F83" s="1241">
        <f t="shared" si="5"/>
        <v>0</v>
      </c>
      <c r="G83" s="1882"/>
      <c r="H83" s="1883"/>
      <c r="I83" s="1247"/>
      <c r="J83" s="1241">
        <f t="shared" si="6"/>
        <v>0</v>
      </c>
      <c r="K83" s="1882"/>
      <c r="L83" s="1883"/>
      <c r="M83" s="1247"/>
      <c r="N83" s="1241">
        <f t="shared" si="7"/>
        <v>0</v>
      </c>
      <c r="O83" s="1882"/>
      <c r="P83" s="1883"/>
      <c r="Q83" s="266"/>
      <c r="R83" s="266"/>
      <c r="S83" s="266"/>
      <c r="T83" s="149"/>
      <c r="Z83" s="137">
        <f t="shared" si="8"/>
        <v>0</v>
      </c>
    </row>
    <row r="84" spans="1:26" s="122" customFormat="1" ht="27.75" customHeight="1">
      <c r="A84" s="218">
        <v>244</v>
      </c>
      <c r="B84" s="217"/>
      <c r="C84" s="1823" t="s">
        <v>648</v>
      </c>
      <c r="D84" s="1891"/>
      <c r="E84" s="1247"/>
      <c r="F84" s="1241">
        <f t="shared" si="5"/>
        <v>0</v>
      </c>
      <c r="G84" s="1882"/>
      <c r="H84" s="1883"/>
      <c r="I84" s="1247"/>
      <c r="J84" s="1241">
        <f t="shared" si="6"/>
        <v>0</v>
      </c>
      <c r="K84" s="1882"/>
      <c r="L84" s="1883"/>
      <c r="M84" s="1247"/>
      <c r="N84" s="1241">
        <f t="shared" si="7"/>
        <v>0</v>
      </c>
      <c r="O84" s="1882"/>
      <c r="P84" s="1883"/>
      <c r="Q84" s="266"/>
      <c r="R84" s="266"/>
      <c r="S84" s="266"/>
      <c r="T84" s="149"/>
      <c r="Z84" s="137">
        <f t="shared" si="8"/>
        <v>0</v>
      </c>
    </row>
    <row r="85" spans="1:26" s="122" customFormat="1" ht="27.75" customHeight="1">
      <c r="A85" s="218">
        <v>244</v>
      </c>
      <c r="B85" s="217"/>
      <c r="C85" s="1823" t="s">
        <v>649</v>
      </c>
      <c r="D85" s="1891"/>
      <c r="E85" s="1247"/>
      <c r="F85" s="1241">
        <f t="shared" si="5"/>
        <v>0</v>
      </c>
      <c r="G85" s="1882"/>
      <c r="H85" s="1883"/>
      <c r="I85" s="1247"/>
      <c r="J85" s="1241">
        <f t="shared" si="6"/>
        <v>0</v>
      </c>
      <c r="K85" s="1882"/>
      <c r="L85" s="1883"/>
      <c r="M85" s="1247"/>
      <c r="N85" s="1241">
        <f t="shared" si="7"/>
        <v>0</v>
      </c>
      <c r="O85" s="1882"/>
      <c r="P85" s="1883"/>
      <c r="Q85" s="266"/>
      <c r="R85" s="266"/>
      <c r="S85" s="266"/>
      <c r="T85" s="149"/>
      <c r="Z85" s="137">
        <f t="shared" si="8"/>
        <v>0</v>
      </c>
    </row>
    <row r="86" spans="1:26" s="122" customFormat="1" ht="27.75" customHeight="1">
      <c r="A86" s="218">
        <v>244</v>
      </c>
      <c r="B86" s="217"/>
      <c r="C86" s="1823" t="s">
        <v>650</v>
      </c>
      <c r="D86" s="1891"/>
      <c r="E86" s="1247"/>
      <c r="F86" s="1241">
        <f t="shared" si="5"/>
        <v>0</v>
      </c>
      <c r="G86" s="1882"/>
      <c r="H86" s="1883"/>
      <c r="I86" s="1247"/>
      <c r="J86" s="1241">
        <f t="shared" si="6"/>
        <v>0</v>
      </c>
      <c r="K86" s="1882"/>
      <c r="L86" s="1883"/>
      <c r="M86" s="1247"/>
      <c r="N86" s="1241">
        <f t="shared" si="7"/>
        <v>0</v>
      </c>
      <c r="O86" s="1882"/>
      <c r="P86" s="1883"/>
      <c r="Q86" s="266"/>
      <c r="R86" s="266"/>
      <c r="S86" s="266"/>
      <c r="T86" s="149"/>
      <c r="Z86" s="137">
        <f t="shared" si="8"/>
        <v>0</v>
      </c>
    </row>
    <row r="87" spans="1:26" s="122" customFormat="1" ht="27.75" customHeight="1">
      <c r="A87" s="218">
        <v>244</v>
      </c>
      <c r="B87" s="217"/>
      <c r="C87" s="1823" t="s">
        <v>651</v>
      </c>
      <c r="D87" s="1891"/>
      <c r="E87" s="1247"/>
      <c r="F87" s="1241">
        <f t="shared" si="5"/>
        <v>0</v>
      </c>
      <c r="G87" s="1882"/>
      <c r="H87" s="1883"/>
      <c r="I87" s="1247"/>
      <c r="J87" s="1241">
        <f t="shared" si="6"/>
        <v>0</v>
      </c>
      <c r="K87" s="1882"/>
      <c r="L87" s="1883"/>
      <c r="M87" s="1247"/>
      <c r="N87" s="1241">
        <f t="shared" si="7"/>
        <v>0</v>
      </c>
      <c r="O87" s="1882"/>
      <c r="P87" s="1883"/>
      <c r="Q87" s="266"/>
      <c r="R87" s="266"/>
      <c r="S87" s="266"/>
      <c r="T87" s="149"/>
      <c r="Z87" s="137">
        <f t="shared" si="8"/>
        <v>0</v>
      </c>
    </row>
    <row r="88" spans="1:26" s="122" customFormat="1" ht="27.75" customHeight="1">
      <c r="A88" s="218">
        <v>244</v>
      </c>
      <c r="B88" s="217"/>
      <c r="C88" s="1823" t="s">
        <v>652</v>
      </c>
      <c r="D88" s="1891"/>
      <c r="E88" s="1247"/>
      <c r="F88" s="1241">
        <f t="shared" si="5"/>
        <v>0</v>
      </c>
      <c r="G88" s="1882"/>
      <c r="H88" s="1883"/>
      <c r="I88" s="1247"/>
      <c r="J88" s="1241">
        <f t="shared" si="6"/>
        <v>0</v>
      </c>
      <c r="K88" s="1882"/>
      <c r="L88" s="1883"/>
      <c r="M88" s="1247"/>
      <c r="N88" s="1241">
        <f t="shared" si="7"/>
        <v>0</v>
      </c>
      <c r="O88" s="1882"/>
      <c r="P88" s="1883"/>
      <c r="Q88" s="266"/>
      <c r="R88" s="266"/>
      <c r="S88" s="266"/>
      <c r="T88" s="149"/>
      <c r="Z88" s="137">
        <f t="shared" si="8"/>
        <v>0</v>
      </c>
    </row>
    <row r="89" spans="1:26" s="122" customFormat="1" ht="27.75" customHeight="1">
      <c r="A89" s="218">
        <v>244</v>
      </c>
      <c r="B89" s="217"/>
      <c r="C89" s="1823" t="s">
        <v>653</v>
      </c>
      <c r="D89" s="1891"/>
      <c r="E89" s="1247"/>
      <c r="F89" s="1241">
        <f t="shared" si="5"/>
        <v>0</v>
      </c>
      <c r="G89" s="1882"/>
      <c r="H89" s="1883"/>
      <c r="I89" s="1247"/>
      <c r="J89" s="1241">
        <f t="shared" si="6"/>
        <v>0</v>
      </c>
      <c r="K89" s="1882"/>
      <c r="L89" s="1883"/>
      <c r="M89" s="1247"/>
      <c r="N89" s="1241">
        <f t="shared" si="7"/>
        <v>0</v>
      </c>
      <c r="O89" s="1882"/>
      <c r="P89" s="1883"/>
      <c r="Q89" s="266"/>
      <c r="R89" s="266"/>
      <c r="S89" s="266"/>
      <c r="T89" s="149"/>
      <c r="Z89" s="137">
        <f t="shared" si="8"/>
        <v>0</v>
      </c>
    </row>
    <row r="90" spans="1:26" s="122" customFormat="1" ht="27.75" customHeight="1">
      <c r="A90" s="218">
        <v>244</v>
      </c>
      <c r="B90" s="217"/>
      <c r="C90" s="1823" t="s">
        <v>654</v>
      </c>
      <c r="D90" s="1891"/>
      <c r="E90" s="1247"/>
      <c r="F90" s="1241">
        <f t="shared" si="5"/>
        <v>0</v>
      </c>
      <c r="G90" s="1882"/>
      <c r="H90" s="1883"/>
      <c r="I90" s="1247"/>
      <c r="J90" s="1241">
        <f t="shared" si="6"/>
        <v>0</v>
      </c>
      <c r="K90" s="1882"/>
      <c r="L90" s="1883"/>
      <c r="M90" s="1247"/>
      <c r="N90" s="1241">
        <f t="shared" si="7"/>
        <v>0</v>
      </c>
      <c r="O90" s="1882"/>
      <c r="P90" s="1883"/>
      <c r="Q90" s="266"/>
      <c r="R90" s="266"/>
      <c r="S90" s="266"/>
      <c r="T90" s="149"/>
      <c r="Z90" s="137">
        <f t="shared" si="8"/>
        <v>0</v>
      </c>
    </row>
    <row r="91" spans="1:26" s="122" customFormat="1" ht="27.75" customHeight="1">
      <c r="A91" s="218">
        <v>244</v>
      </c>
      <c r="B91" s="217"/>
      <c r="C91" s="1823" t="s">
        <v>655</v>
      </c>
      <c r="D91" s="1891"/>
      <c r="E91" s="1247"/>
      <c r="F91" s="1241">
        <f t="shared" si="5"/>
        <v>0</v>
      </c>
      <c r="G91" s="1882"/>
      <c r="H91" s="1883"/>
      <c r="I91" s="1247"/>
      <c r="J91" s="1241">
        <f t="shared" si="6"/>
        <v>0</v>
      </c>
      <c r="K91" s="1882"/>
      <c r="L91" s="1883"/>
      <c r="M91" s="1247"/>
      <c r="N91" s="1241">
        <f t="shared" si="7"/>
        <v>0</v>
      </c>
      <c r="O91" s="1882"/>
      <c r="P91" s="1883"/>
      <c r="Q91" s="266"/>
      <c r="R91" s="266"/>
      <c r="S91" s="266"/>
      <c r="T91" s="149"/>
      <c r="Z91" s="137">
        <f t="shared" si="8"/>
        <v>0</v>
      </c>
    </row>
    <row r="92" spans="1:26" s="122" customFormat="1" ht="27.75" customHeight="1">
      <c r="A92" s="218">
        <v>244</v>
      </c>
      <c r="B92" s="217"/>
      <c r="C92" s="1823" t="s">
        <v>656</v>
      </c>
      <c r="D92" s="1891"/>
      <c r="E92" s="1247"/>
      <c r="F92" s="1241">
        <f t="shared" si="5"/>
        <v>0</v>
      </c>
      <c r="G92" s="1882"/>
      <c r="H92" s="1883"/>
      <c r="I92" s="1247"/>
      <c r="J92" s="1241">
        <f t="shared" si="6"/>
        <v>0</v>
      </c>
      <c r="K92" s="1882"/>
      <c r="L92" s="1883"/>
      <c r="M92" s="1247"/>
      <c r="N92" s="1241">
        <f t="shared" si="7"/>
        <v>0</v>
      </c>
      <c r="O92" s="1882"/>
      <c r="P92" s="1883"/>
      <c r="Q92" s="266"/>
      <c r="R92" s="266"/>
      <c r="S92" s="266"/>
      <c r="T92" s="149"/>
      <c r="Z92" s="137">
        <f t="shared" si="8"/>
        <v>0</v>
      </c>
    </row>
    <row r="93" spans="1:26" s="122" customFormat="1" ht="27.75" customHeight="1">
      <c r="A93" s="218">
        <v>244</v>
      </c>
      <c r="B93" s="217"/>
      <c r="C93" s="1823" t="s">
        <v>657</v>
      </c>
      <c r="D93" s="1891"/>
      <c r="E93" s="1247"/>
      <c r="F93" s="1241">
        <f t="shared" si="5"/>
        <v>0</v>
      </c>
      <c r="G93" s="1882"/>
      <c r="H93" s="1883"/>
      <c r="I93" s="1247"/>
      <c r="J93" s="1241">
        <f t="shared" si="6"/>
        <v>0</v>
      </c>
      <c r="K93" s="1882"/>
      <c r="L93" s="1883"/>
      <c r="M93" s="1247"/>
      <c r="N93" s="1241">
        <f t="shared" si="7"/>
        <v>0</v>
      </c>
      <c r="O93" s="1882"/>
      <c r="P93" s="1883"/>
      <c r="Q93" s="266"/>
      <c r="R93" s="266"/>
      <c r="S93" s="266"/>
      <c r="T93" s="149"/>
      <c r="Z93" s="137">
        <f t="shared" si="8"/>
        <v>0</v>
      </c>
    </row>
    <row r="94" spans="1:26" s="122" customFormat="1" ht="27.75" customHeight="1">
      <c r="A94" s="218">
        <v>244</v>
      </c>
      <c r="B94" s="217"/>
      <c r="C94" s="1823" t="s">
        <v>658</v>
      </c>
      <c r="D94" s="1891"/>
      <c r="E94" s="1247"/>
      <c r="F94" s="1241">
        <f t="shared" si="5"/>
        <v>0</v>
      </c>
      <c r="G94" s="1882"/>
      <c r="H94" s="1883"/>
      <c r="I94" s="1247"/>
      <c r="J94" s="1241">
        <f t="shared" si="6"/>
        <v>0</v>
      </c>
      <c r="K94" s="1882"/>
      <c r="L94" s="1883"/>
      <c r="M94" s="1247"/>
      <c r="N94" s="1241">
        <f t="shared" si="7"/>
        <v>0</v>
      </c>
      <c r="O94" s="1882"/>
      <c r="P94" s="1883"/>
      <c r="Q94" s="266"/>
      <c r="R94" s="266"/>
      <c r="S94" s="266"/>
      <c r="T94" s="149"/>
      <c r="Z94" s="137">
        <f t="shared" si="8"/>
        <v>0</v>
      </c>
    </row>
    <row r="95" spans="1:26" s="122" customFormat="1" ht="27.75" customHeight="1">
      <c r="A95" s="218">
        <v>244</v>
      </c>
      <c r="B95" s="217"/>
      <c r="C95" s="1823" t="s">
        <v>659</v>
      </c>
      <c r="D95" s="1891"/>
      <c r="E95" s="1247"/>
      <c r="F95" s="1241">
        <f t="shared" si="5"/>
        <v>0</v>
      </c>
      <c r="G95" s="1882"/>
      <c r="H95" s="1883"/>
      <c r="I95" s="1247"/>
      <c r="J95" s="1241">
        <f t="shared" si="6"/>
        <v>0</v>
      </c>
      <c r="K95" s="1882"/>
      <c r="L95" s="1883"/>
      <c r="M95" s="1247"/>
      <c r="N95" s="1241">
        <f t="shared" si="7"/>
        <v>0</v>
      </c>
      <c r="O95" s="1882"/>
      <c r="P95" s="1883"/>
      <c r="Q95" s="266"/>
      <c r="R95" s="266"/>
      <c r="S95" s="266"/>
      <c r="T95" s="149"/>
      <c r="Z95" s="137">
        <f t="shared" si="8"/>
        <v>0</v>
      </c>
    </row>
    <row r="96" spans="1:26" s="122" customFormat="1" ht="27.75" customHeight="1">
      <c r="A96" s="243">
        <v>244</v>
      </c>
      <c r="B96" s="246"/>
      <c r="C96" s="1823" t="s">
        <v>660</v>
      </c>
      <c r="D96" s="1891"/>
      <c r="E96" s="1258"/>
      <c r="F96" s="1244">
        <f t="shared" si="5"/>
        <v>0</v>
      </c>
      <c r="G96" s="1705">
        <f>G97-SUM(G57:H95)</f>
        <v>2500000</v>
      </c>
      <c r="H96" s="1712"/>
      <c r="I96" s="1258"/>
      <c r="J96" s="1244">
        <f t="shared" si="6"/>
        <v>0</v>
      </c>
      <c r="K96" s="1705">
        <f>K97-SUM(K57:L95)</f>
        <v>0</v>
      </c>
      <c r="L96" s="1712"/>
      <c r="M96" s="1258"/>
      <c r="N96" s="1244">
        <f t="shared" si="7"/>
        <v>0</v>
      </c>
      <c r="O96" s="1705">
        <f>O97-SUM(O57:P95)</f>
        <v>0</v>
      </c>
      <c r="P96" s="1712"/>
      <c r="Q96" s="266"/>
      <c r="R96" s="266"/>
      <c r="S96" s="266"/>
      <c r="T96" s="149"/>
      <c r="Z96" s="137">
        <f t="shared" si="8"/>
        <v>0</v>
      </c>
    </row>
    <row r="97" spans="1:29" s="267" customFormat="1" ht="27.75" customHeight="1">
      <c r="A97" s="263"/>
      <c r="B97" s="265"/>
      <c r="C97" s="1897" t="s">
        <v>554</v>
      </c>
      <c r="D97" s="1898"/>
      <c r="E97" s="736" t="s">
        <v>412</v>
      </c>
      <c r="F97" s="734" t="s">
        <v>412</v>
      </c>
      <c r="G97" s="1667">
        <f>SUMIFS(Титульный!$O$69:$O$292,Титульный!$K$69:$K$292,'КФО 2'!$Q97,Титульный!$L$69:$L$292,'КФО 2'!$R97,Титульный!$N$69:$N$292,'КФО 2'!$S97)</f>
        <v>2500000</v>
      </c>
      <c r="H97" s="1800">
        <f>SUMIFS(Титульный!$O$69:$O$292,Титульный!$K$69:$K$292,'КФО 2'!$Q97,Титульный!$L$69:$L$292,'КФО 2'!$R97,Титульный!$N$69:$N$292,'КФО 2'!$S97)</f>
        <v>2500000</v>
      </c>
      <c r="I97" s="736" t="s">
        <v>412</v>
      </c>
      <c r="J97" s="734" t="s">
        <v>412</v>
      </c>
      <c r="K97" s="1886">
        <f>SUMIFS(Титульный!$P$69:$P$292,
Титульный!$K$69:$K$292,'КФО 2'!$Q97,
Титульный!$L$69:$L$292,'КФО 2'!$R97,
Титульный!$N$69:$N$292,'КФО 2'!$S97)</f>
        <v>0</v>
      </c>
      <c r="L97" s="1800">
        <f>SUMIFS(Титульный!$P$69:$P$292,
Титульный!$K$69:$K$292,'КФО 2'!$Q97,
Титульный!$L$69:$L$292,'КФО 2'!$R97,
Титульный!$N$69:$N$292,'КФО 2'!$S97)</f>
        <v>0</v>
      </c>
      <c r="M97" s="718" t="s">
        <v>412</v>
      </c>
      <c r="N97" s="734" t="s">
        <v>412</v>
      </c>
      <c r="O97" s="1886">
        <f>SUMIFS(Титульный!$Q$69:$Q$292,
Титульный!$K$69:$K$292,'КФО 2'!$Q97,
Титульный!$L$69:$L$292,'КФО 2'!$R97,
Титульный!$N$69:$N$292,'КФО 2'!$S97)</f>
        <v>0</v>
      </c>
      <c r="P97" s="1800">
        <f>SUMIFS(Титульный!$Q$69:$Q$292,
Титульный!$K$69:$K$292,'КФО 2'!$Q97,
Титульный!$L$69:$L$292,'КФО 2'!$R97,
Титульный!$N$69:$N$292,'КФО 2'!$S97)</f>
        <v>0</v>
      </c>
      <c r="Q97" s="266">
        <v>2</v>
      </c>
      <c r="R97" s="266">
        <v>244</v>
      </c>
      <c r="S97" s="266">
        <v>225</v>
      </c>
      <c r="T97" s="266"/>
      <c r="Z97" s="137">
        <f t="shared" si="8"/>
        <v>0</v>
      </c>
    </row>
    <row r="98" spans="1:29" s="119" customFormat="1" ht="12" customHeight="1">
      <c r="B98" s="256"/>
      <c r="P98" s="143"/>
      <c r="Q98" s="272"/>
      <c r="R98" s="272"/>
      <c r="S98" s="272"/>
      <c r="T98" s="146"/>
      <c r="Z98" s="137">
        <f t="shared" si="8"/>
        <v>0</v>
      </c>
    </row>
    <row r="99" spans="1:29" s="144" customFormat="1" ht="12" hidden="1" customHeight="1">
      <c r="B99" s="256"/>
      <c r="Q99" s="272"/>
      <c r="R99" s="272"/>
      <c r="S99" s="272"/>
      <c r="T99" s="146"/>
      <c r="Z99" s="137">
        <f t="shared" si="8"/>
        <v>0</v>
      </c>
    </row>
    <row r="100" spans="1:29" s="144" customFormat="1" ht="12" hidden="1" customHeight="1">
      <c r="B100" s="256"/>
      <c r="Q100" s="272"/>
      <c r="R100" s="272"/>
      <c r="S100" s="272"/>
      <c r="T100" s="146"/>
      <c r="Z100" s="137">
        <f t="shared" si="8"/>
        <v>0</v>
      </c>
    </row>
    <row r="101" spans="1:29" s="215" customFormat="1" ht="27.75" customHeight="1">
      <c r="A101" s="1643" t="s">
        <v>580</v>
      </c>
      <c r="B101" s="1643"/>
      <c r="C101" s="1643"/>
      <c r="D101" s="1643"/>
      <c r="E101" s="1643"/>
      <c r="F101" s="1643"/>
      <c r="G101" s="1643"/>
      <c r="H101" s="1643"/>
      <c r="I101" s="1643"/>
      <c r="J101" s="1643"/>
      <c r="K101" s="1643"/>
      <c r="L101" s="1643"/>
      <c r="M101" s="1643"/>
      <c r="N101" s="1643"/>
      <c r="O101" s="1643"/>
      <c r="P101" s="1643"/>
      <c r="Q101" s="266"/>
      <c r="R101" s="266"/>
      <c r="S101" s="266"/>
      <c r="T101" s="214"/>
      <c r="Z101" s="137">
        <f t="shared" ref="Z101:Z119" si="9">SUM(AA101:AW101)</f>
        <v>0</v>
      </c>
    </row>
    <row r="102" spans="1:29" s="119" customFormat="1" ht="12" customHeight="1">
      <c r="B102" s="256"/>
      <c r="P102" s="143"/>
      <c r="Q102" s="272"/>
      <c r="R102" s="272"/>
      <c r="S102" s="272"/>
      <c r="T102" s="146"/>
      <c r="Z102" s="137">
        <f t="shared" si="9"/>
        <v>0</v>
      </c>
    </row>
    <row r="103" spans="1:29" s="119" customFormat="1" ht="33" customHeight="1">
      <c r="A103" s="1687" t="s">
        <v>541</v>
      </c>
      <c r="B103" s="1651" t="s">
        <v>430</v>
      </c>
      <c r="C103" s="1892" t="s">
        <v>553</v>
      </c>
      <c r="D103" s="1696"/>
      <c r="E103" s="1858" t="s">
        <v>1114</v>
      </c>
      <c r="F103" s="1859"/>
      <c r="G103" s="1859"/>
      <c r="H103" s="1887"/>
      <c r="I103" s="1856" t="s">
        <v>1115</v>
      </c>
      <c r="J103" s="1854"/>
      <c r="K103" s="1854"/>
      <c r="L103" s="1855"/>
      <c r="M103" s="1853" t="s">
        <v>1116</v>
      </c>
      <c r="N103" s="1854"/>
      <c r="O103" s="1854"/>
      <c r="P103" s="1855"/>
      <c r="Q103" s="272"/>
      <c r="R103" s="272"/>
      <c r="S103" s="272"/>
      <c r="T103" s="146"/>
      <c r="Z103" s="137">
        <f t="shared" si="9"/>
        <v>0</v>
      </c>
      <c r="AA103" s="137">
        <f>SUM(G106:G121)-SUBTOTAL(109,G106:G121)</f>
        <v>0</v>
      </c>
      <c r="AB103" s="137">
        <f>SUM(K106:L121)-SUBTOTAL(109,K106:L121)</f>
        <v>0</v>
      </c>
      <c r="AC103" s="137">
        <f>SUM(O106:P121)-SUBTOTAL(109,O106:P121)</f>
        <v>0</v>
      </c>
    </row>
    <row r="104" spans="1:29" s="119" customFormat="1" ht="38.25">
      <c r="A104" s="1688"/>
      <c r="B104" s="1684"/>
      <c r="C104" s="1893"/>
      <c r="D104" s="1894"/>
      <c r="E104" s="169" t="s">
        <v>581</v>
      </c>
      <c r="F104" s="170" t="s">
        <v>582</v>
      </c>
      <c r="G104" s="1838" t="s">
        <v>496</v>
      </c>
      <c r="H104" s="1839"/>
      <c r="I104" s="169" t="s">
        <v>581</v>
      </c>
      <c r="J104" s="170" t="s">
        <v>582</v>
      </c>
      <c r="K104" s="1838" t="s">
        <v>496</v>
      </c>
      <c r="L104" s="1839"/>
      <c r="M104" s="169" t="s">
        <v>581</v>
      </c>
      <c r="N104" s="170" t="s">
        <v>582</v>
      </c>
      <c r="O104" s="1838" t="s">
        <v>496</v>
      </c>
      <c r="P104" s="1839"/>
      <c r="Q104" s="272"/>
      <c r="R104" s="272"/>
      <c r="S104" s="272"/>
      <c r="T104" s="146"/>
      <c r="Z104" s="137">
        <f t="shared" si="9"/>
        <v>0</v>
      </c>
    </row>
    <row r="105" spans="1:29" s="119" customFormat="1">
      <c r="A105" s="157" t="s">
        <v>6</v>
      </c>
      <c r="B105" s="380" t="s">
        <v>7</v>
      </c>
      <c r="C105" s="1895" t="s">
        <v>8</v>
      </c>
      <c r="D105" s="1896"/>
      <c r="E105" s="177">
        <v>4</v>
      </c>
      <c r="F105" s="165">
        <v>5</v>
      </c>
      <c r="G105" s="1653" t="s">
        <v>716</v>
      </c>
      <c r="H105" s="1654"/>
      <c r="I105" s="177">
        <v>7</v>
      </c>
      <c r="J105" s="165">
        <v>8</v>
      </c>
      <c r="K105" s="1653" t="s">
        <v>717</v>
      </c>
      <c r="L105" s="1654"/>
      <c r="M105" s="177" t="s">
        <v>413</v>
      </c>
      <c r="N105" s="165" t="s">
        <v>418</v>
      </c>
      <c r="O105" s="1653" t="s">
        <v>499</v>
      </c>
      <c r="P105" s="1654"/>
      <c r="Q105" s="272"/>
      <c r="R105" s="272"/>
      <c r="S105" s="272"/>
      <c r="T105" s="146"/>
      <c r="Z105" s="137">
        <f t="shared" si="9"/>
        <v>0</v>
      </c>
    </row>
    <row r="106" spans="1:29" s="122" customFormat="1" ht="27.75" customHeight="1">
      <c r="A106" s="218">
        <v>244</v>
      </c>
      <c r="B106" s="217"/>
      <c r="C106" s="1823" t="s">
        <v>661</v>
      </c>
      <c r="D106" s="1891"/>
      <c r="E106" s="1247"/>
      <c r="F106" s="1241">
        <f t="shared" ref="F106:F121" si="10">IFERROR(G106/E106,0)</f>
        <v>0</v>
      </c>
      <c r="G106" s="1638"/>
      <c r="H106" s="1641"/>
      <c r="I106" s="1247"/>
      <c r="J106" s="1241">
        <f t="shared" ref="J106:J121" si="11">IFERROR(K106/I106,0)</f>
        <v>0</v>
      </c>
      <c r="K106" s="1638"/>
      <c r="L106" s="1641"/>
      <c r="M106" s="1247"/>
      <c r="N106" s="1241">
        <f t="shared" ref="N106:N121" si="12">IFERROR(O106/M106,0)</f>
        <v>0</v>
      </c>
      <c r="O106" s="1638"/>
      <c r="P106" s="1641"/>
      <c r="Q106" s="266"/>
      <c r="R106" s="266"/>
      <c r="S106" s="266"/>
      <c r="T106" s="149"/>
      <c r="Z106" s="137">
        <f t="shared" si="9"/>
        <v>0</v>
      </c>
    </row>
    <row r="107" spans="1:29" s="122" customFormat="1" ht="27.75" customHeight="1">
      <c r="A107" s="218">
        <v>244</v>
      </c>
      <c r="B107" s="217"/>
      <c r="C107" s="1823" t="s">
        <v>662</v>
      </c>
      <c r="D107" s="1891"/>
      <c r="E107" s="1247"/>
      <c r="F107" s="1241">
        <f t="shared" si="10"/>
        <v>0</v>
      </c>
      <c r="G107" s="1882"/>
      <c r="H107" s="1883"/>
      <c r="I107" s="1247"/>
      <c r="J107" s="1241">
        <f t="shared" si="11"/>
        <v>0</v>
      </c>
      <c r="K107" s="1882"/>
      <c r="L107" s="1883"/>
      <c r="M107" s="1247"/>
      <c r="N107" s="1241">
        <f t="shared" si="12"/>
        <v>0</v>
      </c>
      <c r="O107" s="1882"/>
      <c r="P107" s="1883"/>
      <c r="Q107" s="266"/>
      <c r="R107" s="266"/>
      <c r="S107" s="266"/>
      <c r="T107" s="149"/>
      <c r="Z107" s="137">
        <f t="shared" si="9"/>
        <v>0</v>
      </c>
    </row>
    <row r="108" spans="1:29" s="122" customFormat="1" ht="27.75" customHeight="1">
      <c r="A108" s="218">
        <v>244</v>
      </c>
      <c r="B108" s="217"/>
      <c r="C108" s="1823" t="s">
        <v>866</v>
      </c>
      <c r="D108" s="1891"/>
      <c r="E108" s="1247"/>
      <c r="F108" s="1241">
        <f t="shared" si="10"/>
        <v>0</v>
      </c>
      <c r="G108" s="1882">
        <f>SUMIFS(Титульный!$O$69:$O$292,Титульный!$K$69:$K$292,'КФО 2'!$Q122,Титульный!$L$69:$L$292,'КФО 2'!$R123,Титульный!$N$69:$N$292,'КФО 2'!$S122)</f>
        <v>0</v>
      </c>
      <c r="H108" s="1883"/>
      <c r="I108" s="1247"/>
      <c r="J108" s="1241">
        <f t="shared" si="11"/>
        <v>0</v>
      </c>
      <c r="K108" s="1882">
        <f>+SUMIFS(Титульный!$P$69:$P$292,
Титульный!$K$69:$K$292,'КФО 2'!$Q122,
Титульный!$L$69:$L$292,'КФО 2'!$R123,
Титульный!$N$69:$N$292,'КФО 2'!$S122)</f>
        <v>0</v>
      </c>
      <c r="L108" s="1883"/>
      <c r="M108" s="1247"/>
      <c r="N108" s="1241">
        <f t="shared" si="12"/>
        <v>0</v>
      </c>
      <c r="O108" s="1882">
        <f>+SUMIFS(Титульный!$Q$69:$Q$292,
Титульный!$K$69:$K$292,'КФО 2'!$Q122,
Титульный!$L$69:$L$292,'КФО 2'!$R123,
Титульный!$N$69:$N$292,'КФО 2'!$S122)</f>
        <v>0</v>
      </c>
      <c r="P108" s="1883"/>
      <c r="Q108" s="266">
        <v>2</v>
      </c>
      <c r="R108" s="266">
        <v>245</v>
      </c>
      <c r="S108" s="266">
        <v>226</v>
      </c>
      <c r="T108" s="149"/>
      <c r="Z108" s="137">
        <f t="shared" si="9"/>
        <v>0</v>
      </c>
    </row>
    <row r="109" spans="1:29" s="122" customFormat="1" ht="27.75" customHeight="1">
      <c r="A109" s="218">
        <v>244</v>
      </c>
      <c r="B109" s="217"/>
      <c r="C109" s="1823" t="s">
        <v>1104</v>
      </c>
      <c r="D109" s="1891"/>
      <c r="E109" s="1247"/>
      <c r="F109" s="1241">
        <f t="shared" si="10"/>
        <v>0</v>
      </c>
      <c r="G109" s="1882"/>
      <c r="H109" s="1883"/>
      <c r="I109" s="1247"/>
      <c r="J109" s="1241">
        <f t="shared" si="11"/>
        <v>0</v>
      </c>
      <c r="K109" s="1882"/>
      <c r="L109" s="1883"/>
      <c r="M109" s="1247"/>
      <c r="N109" s="1241">
        <f t="shared" si="12"/>
        <v>0</v>
      </c>
      <c r="O109" s="1882"/>
      <c r="P109" s="1883"/>
      <c r="Q109" s="266"/>
      <c r="R109" s="266"/>
      <c r="S109" s="266"/>
      <c r="T109" s="149"/>
      <c r="Z109" s="137">
        <f t="shared" si="9"/>
        <v>0</v>
      </c>
    </row>
    <row r="110" spans="1:29" s="122" customFormat="1" ht="27.75" customHeight="1">
      <c r="A110" s="218">
        <v>244</v>
      </c>
      <c r="B110" s="217"/>
      <c r="C110" s="1823" t="s">
        <v>665</v>
      </c>
      <c r="D110" s="1891"/>
      <c r="E110" s="1247"/>
      <c r="F110" s="1241">
        <f t="shared" si="10"/>
        <v>0</v>
      </c>
      <c r="G110" s="1882"/>
      <c r="H110" s="1883"/>
      <c r="I110" s="1247"/>
      <c r="J110" s="1241">
        <f t="shared" si="11"/>
        <v>0</v>
      </c>
      <c r="K110" s="1882"/>
      <c r="L110" s="1883"/>
      <c r="M110" s="1247"/>
      <c r="N110" s="1241">
        <f t="shared" si="12"/>
        <v>0</v>
      </c>
      <c r="O110" s="1882"/>
      <c r="P110" s="1883"/>
      <c r="Q110" s="266"/>
      <c r="R110" s="266"/>
      <c r="S110" s="266"/>
      <c r="T110" s="149"/>
      <c r="Z110" s="137">
        <f t="shared" si="9"/>
        <v>0</v>
      </c>
    </row>
    <row r="111" spans="1:29" s="122" customFormat="1" ht="27.75" customHeight="1">
      <c r="A111" s="218">
        <v>244</v>
      </c>
      <c r="B111" s="217"/>
      <c r="C111" s="1823" t="s">
        <v>667</v>
      </c>
      <c r="D111" s="1891"/>
      <c r="E111" s="1247"/>
      <c r="F111" s="1241">
        <f t="shared" si="10"/>
        <v>0</v>
      </c>
      <c r="G111" s="1882"/>
      <c r="H111" s="1883"/>
      <c r="I111" s="1247"/>
      <c r="J111" s="1241">
        <f t="shared" si="11"/>
        <v>0</v>
      </c>
      <c r="K111" s="1882"/>
      <c r="L111" s="1883"/>
      <c r="M111" s="1247"/>
      <c r="N111" s="1241">
        <f t="shared" si="12"/>
        <v>0</v>
      </c>
      <c r="O111" s="1882"/>
      <c r="P111" s="1883"/>
      <c r="Q111" s="266"/>
      <c r="R111" s="266"/>
      <c r="S111" s="266"/>
      <c r="T111" s="149"/>
      <c r="Z111" s="137">
        <f t="shared" si="9"/>
        <v>0</v>
      </c>
    </row>
    <row r="112" spans="1:29" s="122" customFormat="1" ht="27.75" customHeight="1">
      <c r="A112" s="218">
        <v>244</v>
      </c>
      <c r="B112" s="217"/>
      <c r="C112" s="1823" t="s">
        <v>862</v>
      </c>
      <c r="D112" s="1891"/>
      <c r="E112" s="1247"/>
      <c r="F112" s="1241">
        <f t="shared" si="10"/>
        <v>0</v>
      </c>
      <c r="G112" s="1882"/>
      <c r="H112" s="1883"/>
      <c r="I112" s="1247"/>
      <c r="J112" s="1241">
        <f t="shared" si="11"/>
        <v>0</v>
      </c>
      <c r="K112" s="1882"/>
      <c r="L112" s="1883"/>
      <c r="M112" s="1247"/>
      <c r="N112" s="1241">
        <f t="shared" si="12"/>
        <v>0</v>
      </c>
      <c r="O112" s="1882"/>
      <c r="P112" s="1883"/>
      <c r="Q112" s="266"/>
      <c r="R112" s="266"/>
      <c r="S112" s="266"/>
      <c r="T112" s="149"/>
      <c r="Z112" s="137">
        <f t="shared" si="9"/>
        <v>0</v>
      </c>
    </row>
    <row r="113" spans="1:26" s="122" customFormat="1" ht="27.75" customHeight="1">
      <c r="A113" s="218">
        <v>244</v>
      </c>
      <c r="B113" s="217"/>
      <c r="C113" s="1823" t="s">
        <v>669</v>
      </c>
      <c r="D113" s="1891"/>
      <c r="E113" s="1247"/>
      <c r="F113" s="1241">
        <f t="shared" si="10"/>
        <v>0</v>
      </c>
      <c r="G113" s="1882"/>
      <c r="H113" s="1883"/>
      <c r="I113" s="1247"/>
      <c r="J113" s="1241">
        <f t="shared" si="11"/>
        <v>0</v>
      </c>
      <c r="K113" s="1882"/>
      <c r="L113" s="1883"/>
      <c r="M113" s="1247"/>
      <c r="N113" s="1241">
        <f t="shared" si="12"/>
        <v>0</v>
      </c>
      <c r="O113" s="1882"/>
      <c r="P113" s="1883"/>
      <c r="Q113" s="266"/>
      <c r="R113" s="266"/>
      <c r="S113" s="266"/>
      <c r="T113" s="149"/>
      <c r="Z113" s="137">
        <f t="shared" si="9"/>
        <v>0</v>
      </c>
    </row>
    <row r="114" spans="1:26" s="122" customFormat="1" ht="27.75" customHeight="1">
      <c r="A114" s="218">
        <v>244</v>
      </c>
      <c r="B114" s="217"/>
      <c r="C114" s="1823" t="s">
        <v>671</v>
      </c>
      <c r="D114" s="1891"/>
      <c r="E114" s="1247"/>
      <c r="F114" s="1241">
        <f t="shared" si="10"/>
        <v>0</v>
      </c>
      <c r="G114" s="1882"/>
      <c r="H114" s="1883"/>
      <c r="I114" s="1247"/>
      <c r="J114" s="1241">
        <f t="shared" si="11"/>
        <v>0</v>
      </c>
      <c r="K114" s="1882"/>
      <c r="L114" s="1883"/>
      <c r="M114" s="1247"/>
      <c r="N114" s="1241">
        <f t="shared" si="12"/>
        <v>0</v>
      </c>
      <c r="O114" s="1882"/>
      <c r="P114" s="1883"/>
      <c r="Q114" s="266"/>
      <c r="R114" s="266"/>
      <c r="S114" s="266"/>
      <c r="T114" s="149"/>
      <c r="Z114" s="137">
        <f t="shared" si="9"/>
        <v>0</v>
      </c>
    </row>
    <row r="115" spans="1:26" s="122" customFormat="1" ht="27.75" customHeight="1">
      <c r="A115" s="218">
        <v>244</v>
      </c>
      <c r="B115" s="217"/>
      <c r="C115" s="1823" t="s">
        <v>672</v>
      </c>
      <c r="D115" s="1891"/>
      <c r="E115" s="1247"/>
      <c r="F115" s="1241">
        <f t="shared" si="10"/>
        <v>0</v>
      </c>
      <c r="G115" s="1882"/>
      <c r="H115" s="1883"/>
      <c r="I115" s="1247"/>
      <c r="J115" s="1241">
        <f t="shared" si="11"/>
        <v>0</v>
      </c>
      <c r="K115" s="1882"/>
      <c r="L115" s="1883"/>
      <c r="M115" s="1247"/>
      <c r="N115" s="1241">
        <f t="shared" si="12"/>
        <v>0</v>
      </c>
      <c r="O115" s="1882"/>
      <c r="P115" s="1883"/>
      <c r="Q115" s="266"/>
      <c r="R115" s="266"/>
      <c r="S115" s="266"/>
      <c r="T115" s="149"/>
      <c r="Z115" s="137">
        <f t="shared" si="9"/>
        <v>0</v>
      </c>
    </row>
    <row r="116" spans="1:26" s="122" customFormat="1" ht="27.75" customHeight="1">
      <c r="A116" s="218">
        <v>244</v>
      </c>
      <c r="B116" s="217"/>
      <c r="C116" s="1823" t="s">
        <v>673</v>
      </c>
      <c r="D116" s="1891"/>
      <c r="E116" s="1247"/>
      <c r="F116" s="1241">
        <f t="shared" si="10"/>
        <v>0</v>
      </c>
      <c r="G116" s="1882"/>
      <c r="H116" s="1883"/>
      <c r="I116" s="1247"/>
      <c r="J116" s="1241">
        <f t="shared" si="11"/>
        <v>0</v>
      </c>
      <c r="K116" s="1882"/>
      <c r="L116" s="1883"/>
      <c r="M116" s="1247"/>
      <c r="N116" s="1241">
        <f t="shared" si="12"/>
        <v>0</v>
      </c>
      <c r="O116" s="1882"/>
      <c r="P116" s="1883"/>
      <c r="Q116" s="266"/>
      <c r="R116" s="266"/>
      <c r="S116" s="266"/>
      <c r="T116" s="149"/>
      <c r="Z116" s="137">
        <f t="shared" si="9"/>
        <v>0</v>
      </c>
    </row>
    <row r="117" spans="1:26" s="122" customFormat="1" ht="29.45" customHeight="1">
      <c r="A117" s="218">
        <v>244</v>
      </c>
      <c r="B117" s="217"/>
      <c r="C117" s="1823" t="s">
        <v>675</v>
      </c>
      <c r="D117" s="1891"/>
      <c r="E117" s="1247"/>
      <c r="F117" s="1241">
        <f t="shared" si="10"/>
        <v>0</v>
      </c>
      <c r="G117" s="1882"/>
      <c r="H117" s="1883"/>
      <c r="I117" s="1247"/>
      <c r="J117" s="1241">
        <f t="shared" si="11"/>
        <v>0</v>
      </c>
      <c r="K117" s="1882"/>
      <c r="L117" s="1883"/>
      <c r="M117" s="1247"/>
      <c r="N117" s="1241">
        <f t="shared" si="12"/>
        <v>0</v>
      </c>
      <c r="O117" s="1882"/>
      <c r="P117" s="1883"/>
      <c r="Q117" s="266"/>
      <c r="R117" s="266"/>
      <c r="S117" s="266"/>
      <c r="T117" s="149"/>
      <c r="Z117" s="137">
        <f t="shared" si="9"/>
        <v>0</v>
      </c>
    </row>
    <row r="118" spans="1:26" s="122" customFormat="1" ht="27.75" customHeight="1">
      <c r="A118" s="218">
        <v>244</v>
      </c>
      <c r="B118" s="217"/>
      <c r="C118" s="1823" t="s">
        <v>666</v>
      </c>
      <c r="D118" s="1891"/>
      <c r="E118" s="1247"/>
      <c r="F118" s="1241">
        <f t="shared" si="10"/>
        <v>0</v>
      </c>
      <c r="G118" s="1638"/>
      <c r="H118" s="1641"/>
      <c r="I118" s="1247"/>
      <c r="J118" s="1241">
        <f t="shared" si="11"/>
        <v>0</v>
      </c>
      <c r="K118" s="1638"/>
      <c r="L118" s="1641"/>
      <c r="M118" s="1247"/>
      <c r="N118" s="1241">
        <f t="shared" si="12"/>
        <v>0</v>
      </c>
      <c r="O118" s="1638"/>
      <c r="P118" s="1641"/>
      <c r="Q118" s="266"/>
      <c r="R118" s="266"/>
      <c r="S118" s="266"/>
      <c r="T118" s="149"/>
      <c r="Z118" s="137">
        <f t="shared" si="9"/>
        <v>0</v>
      </c>
    </row>
    <row r="119" spans="1:26" s="122" customFormat="1" ht="27.75" customHeight="1">
      <c r="A119" s="218">
        <v>244</v>
      </c>
      <c r="B119" s="217"/>
      <c r="C119" s="1823" t="s">
        <v>670</v>
      </c>
      <c r="D119" s="1891"/>
      <c r="E119" s="1247"/>
      <c r="F119" s="1241">
        <f t="shared" si="10"/>
        <v>0</v>
      </c>
      <c r="G119" s="1638"/>
      <c r="H119" s="1641"/>
      <c r="I119" s="1247"/>
      <c r="J119" s="1241">
        <f t="shared" si="11"/>
        <v>0</v>
      </c>
      <c r="K119" s="1638"/>
      <c r="L119" s="1641"/>
      <c r="M119" s="1247"/>
      <c r="N119" s="1241">
        <f t="shared" si="12"/>
        <v>0</v>
      </c>
      <c r="O119" s="1638"/>
      <c r="P119" s="1641"/>
      <c r="Q119" s="266"/>
      <c r="R119" s="266"/>
      <c r="S119" s="266"/>
      <c r="T119" s="149"/>
      <c r="Z119" s="137">
        <f t="shared" si="9"/>
        <v>0</v>
      </c>
    </row>
    <row r="120" spans="1:26" s="122" customFormat="1" ht="27.75" customHeight="1">
      <c r="A120" s="222">
        <v>244</v>
      </c>
      <c r="B120" s="221"/>
      <c r="C120" s="1880" t="s">
        <v>875</v>
      </c>
      <c r="D120" s="1881"/>
      <c r="E120" s="1258"/>
      <c r="F120" s="1244">
        <f t="shared" si="10"/>
        <v>0</v>
      </c>
      <c r="G120" s="1882"/>
      <c r="H120" s="1883"/>
      <c r="I120" s="1258"/>
      <c r="J120" s="1244">
        <f t="shared" si="11"/>
        <v>0</v>
      </c>
      <c r="K120" s="1882"/>
      <c r="L120" s="1883"/>
      <c r="M120" s="1258"/>
      <c r="N120" s="1244">
        <f t="shared" si="12"/>
        <v>0</v>
      </c>
      <c r="O120" s="1882"/>
      <c r="P120" s="1883"/>
      <c r="Q120" s="266"/>
      <c r="R120" s="266"/>
      <c r="S120" s="266"/>
      <c r="T120" s="149"/>
      <c r="Z120" s="137"/>
    </row>
    <row r="121" spans="1:26" s="122" customFormat="1" ht="27.75" customHeight="1">
      <c r="A121" s="243">
        <v>244</v>
      </c>
      <c r="B121" s="246"/>
      <c r="C121" s="1819" t="s">
        <v>674</v>
      </c>
      <c r="D121" s="1915"/>
      <c r="E121" s="1258"/>
      <c r="F121" s="1244">
        <f t="shared" si="10"/>
        <v>0</v>
      </c>
      <c r="G121" s="1705">
        <f>G122-SUM(G106:H120)</f>
        <v>120750</v>
      </c>
      <c r="H121" s="1712"/>
      <c r="I121" s="1258"/>
      <c r="J121" s="1244">
        <f t="shared" si="11"/>
        <v>0</v>
      </c>
      <c r="K121" s="1705">
        <f>K122-SUM(K106:L120)</f>
        <v>0</v>
      </c>
      <c r="L121" s="1712"/>
      <c r="M121" s="1258"/>
      <c r="N121" s="1244">
        <f t="shared" si="12"/>
        <v>0</v>
      </c>
      <c r="O121" s="1705">
        <f>O122-SUM(O106:P120)</f>
        <v>0</v>
      </c>
      <c r="P121" s="1712"/>
      <c r="Q121" s="266"/>
      <c r="R121" s="266"/>
      <c r="S121" s="266"/>
      <c r="T121" s="149"/>
      <c r="Z121" s="137">
        <f t="shared" ref="Z121:Z152" si="13">SUM(AA121:AW121)</f>
        <v>0</v>
      </c>
    </row>
    <row r="122" spans="1:26" s="267" customFormat="1" ht="27.75" customHeight="1">
      <c r="A122" s="263"/>
      <c r="B122" s="265"/>
      <c r="C122" s="1897" t="s">
        <v>554</v>
      </c>
      <c r="D122" s="1898"/>
      <c r="E122" s="736" t="s">
        <v>412</v>
      </c>
      <c r="F122" s="734" t="s">
        <v>412</v>
      </c>
      <c r="G122" s="1886">
        <f>SUMIFS(Титульный!$O$69:$O$292,Титульный!$K$69:$K$292,'КФО 2'!$Q122,Титульный!$L$69:$L$292,'КФО 2'!$R122,Титульный!$N$69:$N$292,'КФО 2'!$S122)
+SUMIFS(Титульный!$O$69:$O$292,Титульный!$K$69:$K$292,'КФО 2'!$Q122,Титульный!$L$69:$L$292,'КФО 2'!$R123,Титульный!$N$69:$N$292,'КФО 2'!$S122)</f>
        <v>120750</v>
      </c>
      <c r="H122" s="1800">
        <f>SUMIFS(Титульный!$O$69:$O$292,Титульный!$K$69:$K$292,'КФО 2'!$Q122,Титульный!$L$69:$L$292,'КФО 2'!$R122,Титульный!$N$69:$N$292,'КФО 2'!$S122)</f>
        <v>120750</v>
      </c>
      <c r="I122" s="736" t="s">
        <v>412</v>
      </c>
      <c r="J122" s="734" t="s">
        <v>412</v>
      </c>
      <c r="K122" s="1886">
        <f>SUMIFS(Титульный!$P$69:$P$292,
Титульный!$K$69:$K$292,'КФО 2'!$Q122,
Титульный!$L$69:$L$292,'КФО 2'!$R122,
Титульный!$N$69:$N$292,'КФО 2'!$S122)
+SUMIFS(Титульный!$P$69:$P$292,
Титульный!$K$69:$K$292,'КФО 2'!$Q122,
Титульный!$L$69:$L$292,'КФО 2'!$R123,
Титульный!$N$69:$N$292,'КФО 2'!$S122)</f>
        <v>0</v>
      </c>
      <c r="L122" s="1800">
        <f>SUMIFS(Титульный!$P$69:$P$292,
Титульный!$K$69:$K$292,'КФО 2'!$Q122,
Титульный!$L$69:$L$292,'КФО 2'!$R122,
Титульный!$N$69:$N$292,'КФО 2'!$S122)</f>
        <v>0</v>
      </c>
      <c r="M122" s="718" t="s">
        <v>412</v>
      </c>
      <c r="N122" s="734" t="s">
        <v>412</v>
      </c>
      <c r="O122" s="1886">
        <f>SUMIFS(Титульный!$Q$69:$Q$292,
Титульный!$K$69:$K$292,'КФО 2'!$Q122,
Титульный!$L$69:$L$292,'КФО 2'!$R122,
Титульный!$N$69:$N$292,'КФО 2'!$S122)
+SUMIFS(Титульный!$Q$69:$Q$292,
Титульный!$K$69:$K$292,'КФО 2'!$Q122,
Титульный!$L$69:$L$292,'КФО 2'!$R123,
Титульный!$N$69:$N$292,'КФО 2'!$S122)</f>
        <v>0</v>
      </c>
      <c r="P122" s="1800">
        <f>SUMIFS(Титульный!$Q$69:$Q$292,
Титульный!$K$69:$K$292,'КФО 2'!$Q122,
Титульный!$L$69:$L$292,'КФО 2'!$R122,
Титульный!$N$69:$N$292,'КФО 2'!$S122)</f>
        <v>0</v>
      </c>
      <c r="Q122" s="266">
        <v>2</v>
      </c>
      <c r="R122" s="266">
        <v>244</v>
      </c>
      <c r="S122" s="266">
        <v>226</v>
      </c>
      <c r="T122" s="266"/>
      <c r="Z122" s="137">
        <f t="shared" si="13"/>
        <v>0</v>
      </c>
    </row>
    <row r="123" spans="1:26" s="119" customFormat="1" ht="12" customHeight="1">
      <c r="B123" s="256"/>
      <c r="P123" s="143"/>
      <c r="Q123" s="272"/>
      <c r="R123" s="272">
        <v>245</v>
      </c>
      <c r="S123" s="272"/>
      <c r="T123" s="146"/>
      <c r="Z123" s="137">
        <f t="shared" si="13"/>
        <v>0</v>
      </c>
    </row>
    <row r="124" spans="1:26" s="144" customFormat="1" ht="12" hidden="1" customHeight="1">
      <c r="B124" s="256"/>
      <c r="Q124" s="272"/>
      <c r="R124" s="272"/>
      <c r="S124" s="272"/>
      <c r="T124" s="146"/>
      <c r="Z124" s="137">
        <f t="shared" si="13"/>
        <v>0</v>
      </c>
    </row>
    <row r="125" spans="1:26" s="144" customFormat="1" ht="12" hidden="1" customHeight="1">
      <c r="B125" s="256"/>
      <c r="Q125" s="272"/>
      <c r="R125" s="272"/>
      <c r="S125" s="272"/>
      <c r="T125" s="146"/>
      <c r="Z125" s="137">
        <f t="shared" si="13"/>
        <v>0</v>
      </c>
    </row>
    <row r="126" spans="1:26" s="215" customFormat="1" ht="27.75" customHeight="1">
      <c r="A126" s="1643" t="s">
        <v>583</v>
      </c>
      <c r="B126" s="1643"/>
      <c r="C126" s="1643"/>
      <c r="D126" s="1643"/>
      <c r="E126" s="1643"/>
      <c r="F126" s="1643"/>
      <c r="G126" s="1643"/>
      <c r="H126" s="1643"/>
      <c r="I126" s="1643"/>
      <c r="J126" s="1643"/>
      <c r="K126" s="1643"/>
      <c r="L126" s="1643"/>
      <c r="M126" s="1643"/>
      <c r="N126" s="1643"/>
      <c r="O126" s="1643"/>
      <c r="P126" s="1643"/>
      <c r="Q126" s="266"/>
      <c r="R126" s="266"/>
      <c r="S126" s="266"/>
      <c r="T126" s="214"/>
      <c r="Z126" s="137">
        <f t="shared" si="13"/>
        <v>0</v>
      </c>
    </row>
    <row r="127" spans="1:26" s="119" customFormat="1" ht="12" customHeight="1">
      <c r="B127" s="256"/>
      <c r="P127" s="143"/>
      <c r="Q127" s="272"/>
      <c r="R127" s="272"/>
      <c r="S127" s="272"/>
      <c r="T127" s="146"/>
      <c r="Z127" s="137">
        <f t="shared" si="13"/>
        <v>0</v>
      </c>
    </row>
    <row r="128" spans="1:26" s="119" customFormat="1" ht="15.75" customHeight="1">
      <c r="A128" s="1687" t="s">
        <v>541</v>
      </c>
      <c r="B128" s="1651" t="s">
        <v>430</v>
      </c>
      <c r="C128" s="1892" t="s">
        <v>553</v>
      </c>
      <c r="D128" s="1696"/>
      <c r="E128" s="1923" t="s">
        <v>496</v>
      </c>
      <c r="F128" s="1924"/>
      <c r="G128" s="1924"/>
      <c r="H128" s="1924"/>
      <c r="I128" s="1924"/>
      <c r="J128" s="1924"/>
      <c r="K128" s="1924"/>
      <c r="L128" s="1924"/>
      <c r="M128" s="1924"/>
      <c r="N128" s="1924"/>
      <c r="O128" s="1924"/>
      <c r="P128" s="1925"/>
      <c r="Q128" s="272"/>
      <c r="R128" s="272"/>
      <c r="S128" s="272"/>
      <c r="T128" s="146"/>
      <c r="Z128" s="137">
        <f t="shared" si="13"/>
        <v>0</v>
      </c>
    </row>
    <row r="129" spans="1:29" s="119" customFormat="1" ht="50.25" customHeight="1">
      <c r="A129" s="1688"/>
      <c r="B129" s="1684"/>
      <c r="C129" s="1847"/>
      <c r="D129" s="1698"/>
      <c r="E129" s="1858" t="s">
        <v>1114</v>
      </c>
      <c r="F129" s="1859"/>
      <c r="G129" s="1859"/>
      <c r="H129" s="1887"/>
      <c r="I129" s="1856" t="s">
        <v>1115</v>
      </c>
      <c r="J129" s="1854"/>
      <c r="K129" s="1854"/>
      <c r="L129" s="1855"/>
      <c r="M129" s="1853" t="s">
        <v>1116</v>
      </c>
      <c r="N129" s="1854"/>
      <c r="O129" s="1854"/>
      <c r="P129" s="1855"/>
      <c r="Q129" s="272"/>
      <c r="R129" s="272"/>
      <c r="S129" s="272"/>
      <c r="T129" s="146"/>
      <c r="Z129" s="137">
        <f t="shared" si="13"/>
        <v>0</v>
      </c>
      <c r="AA129" s="137">
        <f>SUM(E131:H133)-SUBTOTAL(109,E131:H133)</f>
        <v>0</v>
      </c>
      <c r="AB129" s="137">
        <f>SUM(I131:L133)-SUBTOTAL(109,I131:L133)</f>
        <v>0</v>
      </c>
      <c r="AC129" s="137">
        <f>SUM(M131:P133)-SUBTOTAL(109,M131:P133)</f>
        <v>0</v>
      </c>
    </row>
    <row r="130" spans="1:29" s="119" customFormat="1">
      <c r="A130" s="359" t="s">
        <v>6</v>
      </c>
      <c r="B130" s="362" t="s">
        <v>7</v>
      </c>
      <c r="C130" s="1653" t="s">
        <v>8</v>
      </c>
      <c r="D130" s="1654"/>
      <c r="E130" s="1916">
        <v>4</v>
      </c>
      <c r="F130" s="1917"/>
      <c r="G130" s="1917"/>
      <c r="H130" s="1896"/>
      <c r="I130" s="1665">
        <v>5</v>
      </c>
      <c r="J130" s="1653"/>
      <c r="K130" s="1653"/>
      <c r="L130" s="1654"/>
      <c r="M130" s="1680">
        <v>6</v>
      </c>
      <c r="N130" s="1653"/>
      <c r="O130" s="1653"/>
      <c r="P130" s="1654"/>
      <c r="Q130" s="272"/>
      <c r="R130" s="272"/>
      <c r="S130" s="272"/>
      <c r="T130" s="146"/>
      <c r="Z130" s="137">
        <f t="shared" si="13"/>
        <v>0</v>
      </c>
    </row>
    <row r="131" spans="1:29" s="122" customFormat="1" ht="27.75" customHeight="1">
      <c r="A131" s="236">
        <v>244</v>
      </c>
      <c r="B131" s="247"/>
      <c r="C131" s="1810" t="s">
        <v>852</v>
      </c>
      <c r="D131" s="1914"/>
      <c r="E131" s="1672">
        <f>E134</f>
        <v>0</v>
      </c>
      <c r="F131" s="1673"/>
      <c r="G131" s="1673"/>
      <c r="H131" s="1674"/>
      <c r="I131" s="1644">
        <f>I134</f>
        <v>0</v>
      </c>
      <c r="J131" s="1645"/>
      <c r="K131" s="1645"/>
      <c r="L131" s="1648"/>
      <c r="M131" s="1890">
        <f>M134</f>
        <v>0</v>
      </c>
      <c r="N131" s="1645"/>
      <c r="O131" s="1645"/>
      <c r="P131" s="1648"/>
      <c r="Q131" s="266"/>
      <c r="R131" s="266"/>
      <c r="S131" s="266"/>
      <c r="T131" s="149"/>
      <c r="Z131" s="137">
        <f t="shared" si="13"/>
        <v>0</v>
      </c>
    </row>
    <row r="132" spans="1:29" s="122" customFormat="1" ht="27.75" customHeight="1">
      <c r="A132" s="218"/>
      <c r="B132" s="217"/>
      <c r="C132" s="1823"/>
      <c r="D132" s="1891"/>
      <c r="E132" s="1918"/>
      <c r="F132" s="1919"/>
      <c r="G132" s="1919"/>
      <c r="H132" s="1883"/>
      <c r="I132" s="1637"/>
      <c r="J132" s="1638"/>
      <c r="K132" s="1638"/>
      <c r="L132" s="1641"/>
      <c r="M132" s="1710"/>
      <c r="N132" s="1638"/>
      <c r="O132" s="1638"/>
      <c r="P132" s="1641"/>
      <c r="Q132" s="266"/>
      <c r="R132" s="266"/>
      <c r="S132" s="266"/>
      <c r="T132" s="149"/>
      <c r="Z132" s="137">
        <f t="shared" si="13"/>
        <v>0</v>
      </c>
    </row>
    <row r="133" spans="1:29" s="122" customFormat="1" ht="27.75" customHeight="1">
      <c r="A133" s="240"/>
      <c r="B133" s="221"/>
      <c r="C133" s="1819"/>
      <c r="D133" s="1915"/>
      <c r="E133" s="1920"/>
      <c r="F133" s="1921"/>
      <c r="G133" s="1921"/>
      <c r="H133" s="1793"/>
      <c r="I133" s="1889"/>
      <c r="J133" s="1705"/>
      <c r="K133" s="1705"/>
      <c r="L133" s="1712"/>
      <c r="M133" s="1711"/>
      <c r="N133" s="1705"/>
      <c r="O133" s="1705"/>
      <c r="P133" s="1712"/>
      <c r="Q133" s="266"/>
      <c r="R133" s="266"/>
      <c r="S133" s="266"/>
      <c r="T133" s="149"/>
      <c r="Z133" s="137">
        <f t="shared" si="13"/>
        <v>0</v>
      </c>
    </row>
    <row r="134" spans="1:29" s="267" customFormat="1" ht="27.75" customHeight="1">
      <c r="A134" s="258"/>
      <c r="B134" s="261"/>
      <c r="C134" s="1798" t="s">
        <v>554</v>
      </c>
      <c r="D134" s="1922"/>
      <c r="E134" s="1926">
        <f>SUMIFS(Титульный!$O$69:$O$292,Титульный!$K$69:$K$292,'КФО 2'!$Q134,Титульный!$L$69:$L$292,'КФО 2'!$R134,Титульный!$N$69:$N$292,'КФО 2'!$S134)</f>
        <v>0</v>
      </c>
      <c r="F134" s="1707">
        <f>SUMIFS(Титульный!$O$69:$O$292,Титульный!$K$69:$K$292,'КФО 2'!$Q134,Титульный!$L$69:$L$292,'КФО 2'!$R134,Титульный!$N$69:$N$292,'КФО 2'!$S134)</f>
        <v>0</v>
      </c>
      <c r="G134" s="1707">
        <f>SUMIFS(Титульный!$O$69:$O$292,Титульный!$K$69:$K$292,'КФО 2'!$Q134,Титульный!$L$69:$L$292,'КФО 2'!$R134,Титульный!$N$69:$N$292,'КФО 2'!$S134)</f>
        <v>0</v>
      </c>
      <c r="H134" s="1721">
        <f>SUMIFS(Титульный!$O$69:$O$292,Титульный!$K$69:$K$292,'КФО 2'!$Q134,Титульный!$L$69:$L$292,'КФО 2'!$R134,Титульный!$N$69:$N$292,'КФО 2'!$S134)</f>
        <v>0</v>
      </c>
      <c r="I134" s="1666">
        <f>SUMIFS(Титульный!$O$69:$O$292,Титульный!$K$69:$K$292,'КФО 2'!$Q134,Титульный!$L$69:$L$292,'КФО 2'!$R134,Титульный!$N$69:$N$292,'КФО 2'!$S134)</f>
        <v>0</v>
      </c>
      <c r="J134" s="1667">
        <f>SUMIFS(Титульный!$O$69:$O$292,Титульный!$K$69:$K$292,'КФО 2'!$Q134,Титульный!$L$69:$L$292,'КФО 2'!$R134,Титульный!$N$69:$N$292,'КФО 2'!$S134)</f>
        <v>0</v>
      </c>
      <c r="K134" s="1667">
        <f>SUMIFS(Титульный!$O$69:$O$292,Титульный!$K$69:$K$292,'КФО 2'!$Q134,Титульный!$L$69:$L$292,'КФО 2'!$R134,Титульный!$N$69:$N$292,'КФО 2'!$S134)</f>
        <v>0</v>
      </c>
      <c r="L134" s="1800">
        <f>SUMIFS(Титульный!$O$69:$O$292,Титульный!$K$69:$K$292,'КФО 2'!$Q134,Титульный!$L$69:$L$292,'КФО 2'!$R134,Титульный!$N$69:$N$292,'КФО 2'!$S134)</f>
        <v>0</v>
      </c>
      <c r="M134" s="1668">
        <f>SUMIFS(Титульный!$O$69:$O$292,Титульный!$K$69:$K$292,'КФО 2'!$Q134,Титульный!$L$69:$L$292,'КФО 2'!$R134,Титульный!$N$69:$N$292,'КФО 2'!$S134)</f>
        <v>0</v>
      </c>
      <c r="N134" s="1667">
        <f>SUMIFS(Титульный!$O$69:$O$292,Титульный!$K$69:$K$292,'КФО 2'!$Q134,Титульный!$L$69:$L$292,'КФО 2'!$R134,Титульный!$N$69:$N$292,'КФО 2'!$S134)</f>
        <v>0</v>
      </c>
      <c r="O134" s="1667">
        <f>SUMIFS(Титульный!$O$69:$O$292,Титульный!$K$69:$K$292,'КФО 2'!$Q134,Титульный!$L$69:$L$292,'КФО 2'!$R134,Титульный!$N$69:$N$292,'КФО 2'!$S134)</f>
        <v>0</v>
      </c>
      <c r="P134" s="1800">
        <f>SUMIFS(Титульный!$O$69:$O$292,Титульный!$K$69:$K$292,'КФО 2'!$Q134,Титульный!$L$69:$L$292,'КФО 2'!$R134,Титульный!$N$69:$N$292,'КФО 2'!$S134)</f>
        <v>0</v>
      </c>
      <c r="Q134" s="266">
        <v>2</v>
      </c>
      <c r="R134" s="266">
        <v>244</v>
      </c>
      <c r="S134" s="266">
        <v>227</v>
      </c>
      <c r="T134" s="266"/>
      <c r="Z134" s="137">
        <f t="shared" si="13"/>
        <v>0</v>
      </c>
    </row>
    <row r="135" spans="1:29" s="119" customFormat="1" ht="12" customHeight="1">
      <c r="B135" s="256"/>
      <c r="P135" s="143"/>
      <c r="Q135" s="272"/>
      <c r="R135" s="272"/>
      <c r="S135" s="272"/>
      <c r="T135" s="146"/>
      <c r="Z135" s="137">
        <f t="shared" si="13"/>
        <v>0</v>
      </c>
    </row>
    <row r="136" spans="1:29" s="144" customFormat="1" ht="12" hidden="1" customHeight="1">
      <c r="B136" s="256"/>
      <c r="Q136" s="272"/>
      <c r="R136" s="272"/>
      <c r="S136" s="272"/>
      <c r="T136" s="146"/>
      <c r="Z136" s="137">
        <f t="shared" si="13"/>
        <v>0</v>
      </c>
    </row>
    <row r="137" spans="1:29" s="144" customFormat="1" ht="12" hidden="1" customHeight="1">
      <c r="B137" s="256"/>
      <c r="Q137" s="272"/>
      <c r="R137" s="272"/>
      <c r="S137" s="272"/>
      <c r="T137" s="146"/>
      <c r="Z137" s="137">
        <f t="shared" si="13"/>
        <v>0</v>
      </c>
    </row>
    <row r="138" spans="1:29" s="215" customFormat="1" ht="27.75" customHeight="1">
      <c r="A138" s="1643" t="s">
        <v>584</v>
      </c>
      <c r="B138" s="1643"/>
      <c r="C138" s="1643"/>
      <c r="D138" s="1643"/>
      <c r="E138" s="1643"/>
      <c r="F138" s="1643"/>
      <c r="G138" s="1643"/>
      <c r="H138" s="1643"/>
      <c r="I138" s="1643"/>
      <c r="J138" s="1643"/>
      <c r="K138" s="1643"/>
      <c r="L138" s="1643"/>
      <c r="M138" s="1643"/>
      <c r="N138" s="1643"/>
      <c r="O138" s="1643"/>
      <c r="P138" s="1643"/>
      <c r="Q138" s="266"/>
      <c r="R138" s="266"/>
      <c r="S138" s="266"/>
      <c r="T138" s="214"/>
      <c r="Z138" s="137">
        <f t="shared" si="13"/>
        <v>0</v>
      </c>
    </row>
    <row r="139" spans="1:29" s="119" customFormat="1" ht="12" customHeight="1">
      <c r="B139" s="256"/>
      <c r="P139" s="143"/>
      <c r="Q139" s="272"/>
      <c r="R139" s="272"/>
      <c r="S139" s="272"/>
      <c r="T139" s="146"/>
      <c r="Z139" s="137">
        <f t="shared" si="13"/>
        <v>0</v>
      </c>
    </row>
    <row r="140" spans="1:29" s="119" customFormat="1" ht="33.75" customHeight="1">
      <c r="A140" s="1687" t="s">
        <v>541</v>
      </c>
      <c r="B140" s="1651" t="s">
        <v>430</v>
      </c>
      <c r="C140" s="1892" t="s">
        <v>553</v>
      </c>
      <c r="D140" s="1696"/>
      <c r="E140" s="1858" t="s">
        <v>1114</v>
      </c>
      <c r="F140" s="1859"/>
      <c r="G140" s="1859"/>
      <c r="H140" s="1887"/>
      <c r="I140" s="1856" t="s">
        <v>1115</v>
      </c>
      <c r="J140" s="1854"/>
      <c r="K140" s="1854"/>
      <c r="L140" s="1855"/>
      <c r="M140" s="1853" t="s">
        <v>1116</v>
      </c>
      <c r="N140" s="1854"/>
      <c r="O140" s="1854"/>
      <c r="P140" s="1855"/>
      <c r="Q140" s="272"/>
      <c r="R140" s="272"/>
      <c r="S140" s="272"/>
      <c r="T140" s="146"/>
      <c r="Z140" s="137">
        <f t="shared" si="13"/>
        <v>0</v>
      </c>
      <c r="AA140" s="137">
        <f>SUM(G143:G145)-SUBTOTAL(109,G143:G145)</f>
        <v>0</v>
      </c>
      <c r="AB140" s="137">
        <f>SUM(K143:L145)-SUBTOTAL(109,K143:L145)</f>
        <v>0</v>
      </c>
      <c r="AC140" s="137">
        <f>SUM(O143:P145)-SUBTOTAL(109,O143:P145)</f>
        <v>0</v>
      </c>
    </row>
    <row r="141" spans="1:29" s="119" customFormat="1" ht="38.25">
      <c r="A141" s="1688"/>
      <c r="B141" s="1684"/>
      <c r="C141" s="1847"/>
      <c r="D141" s="1698"/>
      <c r="E141" s="169" t="s">
        <v>578</v>
      </c>
      <c r="F141" s="171" t="s">
        <v>579</v>
      </c>
      <c r="G141" s="1888" t="s">
        <v>496</v>
      </c>
      <c r="H141" s="1839"/>
      <c r="I141" s="169" t="s">
        <v>578</v>
      </c>
      <c r="J141" s="171" t="s">
        <v>579</v>
      </c>
      <c r="K141" s="1888" t="s">
        <v>496</v>
      </c>
      <c r="L141" s="1839"/>
      <c r="M141" s="169" t="s">
        <v>578</v>
      </c>
      <c r="N141" s="171" t="s">
        <v>579</v>
      </c>
      <c r="O141" s="1888" t="s">
        <v>496</v>
      </c>
      <c r="P141" s="1839"/>
      <c r="Q141" s="272"/>
      <c r="R141" s="272"/>
      <c r="S141" s="272"/>
      <c r="T141" s="146"/>
      <c r="V141" s="143"/>
      <c r="W141" s="143"/>
      <c r="Z141" s="137">
        <f t="shared" si="13"/>
        <v>0</v>
      </c>
    </row>
    <row r="142" spans="1:29" s="119" customFormat="1">
      <c r="A142" s="360" t="s">
        <v>6</v>
      </c>
      <c r="B142" s="208" t="s">
        <v>7</v>
      </c>
      <c r="C142" s="1653" t="s">
        <v>8</v>
      </c>
      <c r="D142" s="1654"/>
      <c r="E142" s="189">
        <v>4</v>
      </c>
      <c r="F142" s="168">
        <v>5</v>
      </c>
      <c r="G142" s="1653" t="s">
        <v>716</v>
      </c>
      <c r="H142" s="1654"/>
      <c r="I142" s="189">
        <v>7</v>
      </c>
      <c r="J142" s="168">
        <v>8</v>
      </c>
      <c r="K142" s="1653" t="s">
        <v>717</v>
      </c>
      <c r="L142" s="1654"/>
      <c r="M142" s="189" t="s">
        <v>413</v>
      </c>
      <c r="N142" s="168" t="s">
        <v>418</v>
      </c>
      <c r="O142" s="1653" t="s">
        <v>499</v>
      </c>
      <c r="P142" s="1654"/>
      <c r="Q142" s="272"/>
      <c r="R142" s="272"/>
      <c r="S142" s="272"/>
      <c r="T142" s="146"/>
      <c r="V142" s="143"/>
      <c r="W142" s="143"/>
      <c r="Z142" s="137">
        <f t="shared" si="13"/>
        <v>0</v>
      </c>
    </row>
    <row r="143" spans="1:29" s="122" customFormat="1" ht="27.75" customHeight="1">
      <c r="A143" s="225"/>
      <c r="B143" s="226"/>
      <c r="C143" s="1810"/>
      <c r="D143" s="1914"/>
      <c r="E143" s="1247"/>
      <c r="F143" s="1241"/>
      <c r="G143" s="1638">
        <f>G146</f>
        <v>0</v>
      </c>
      <c r="H143" s="1641"/>
      <c r="I143" s="1247"/>
      <c r="J143" s="1241"/>
      <c r="K143" s="1638">
        <f>K146</f>
        <v>0</v>
      </c>
      <c r="L143" s="1641"/>
      <c r="M143" s="1247"/>
      <c r="N143" s="1241"/>
      <c r="O143" s="1638">
        <f>O146</f>
        <v>0</v>
      </c>
      <c r="P143" s="1641"/>
      <c r="Q143" s="266"/>
      <c r="R143" s="266"/>
      <c r="S143" s="266"/>
      <c r="T143" s="149"/>
      <c r="Z143" s="137">
        <f t="shared" si="13"/>
        <v>0</v>
      </c>
    </row>
    <row r="144" spans="1:29" s="122" customFormat="1" ht="27.75" customHeight="1">
      <c r="A144" s="218"/>
      <c r="B144" s="217"/>
      <c r="C144" s="1823"/>
      <c r="D144" s="1891"/>
      <c r="E144" s="1247"/>
      <c r="F144" s="1241"/>
      <c r="G144" s="1638"/>
      <c r="H144" s="1641"/>
      <c r="I144" s="1247"/>
      <c r="J144" s="1241"/>
      <c r="K144" s="1638"/>
      <c r="L144" s="1641"/>
      <c r="M144" s="1247"/>
      <c r="N144" s="1241"/>
      <c r="O144" s="1638"/>
      <c r="P144" s="1641"/>
      <c r="Q144" s="266"/>
      <c r="R144" s="266"/>
      <c r="S144" s="266"/>
      <c r="T144" s="149"/>
      <c r="Z144" s="137">
        <f t="shared" si="13"/>
        <v>0</v>
      </c>
    </row>
    <row r="145" spans="1:29" s="122" customFormat="1" ht="27.75" customHeight="1">
      <c r="A145" s="231"/>
      <c r="B145" s="246"/>
      <c r="C145" s="1819"/>
      <c r="D145" s="1915"/>
      <c r="E145" s="1258"/>
      <c r="F145" s="1244"/>
      <c r="G145" s="1705"/>
      <c r="H145" s="1712"/>
      <c r="I145" s="1258"/>
      <c r="J145" s="1244"/>
      <c r="K145" s="1705"/>
      <c r="L145" s="1712"/>
      <c r="M145" s="1258"/>
      <c r="N145" s="1244"/>
      <c r="O145" s="1705"/>
      <c r="P145" s="1712"/>
      <c r="Q145" s="266"/>
      <c r="R145" s="266"/>
      <c r="S145" s="266"/>
      <c r="T145" s="149"/>
      <c r="Z145" s="137">
        <f t="shared" si="13"/>
        <v>0</v>
      </c>
    </row>
    <row r="146" spans="1:29" s="267" customFormat="1" ht="27.75" customHeight="1">
      <c r="A146" s="263"/>
      <c r="B146" s="265"/>
      <c r="C146" s="1897" t="s">
        <v>554</v>
      </c>
      <c r="D146" s="1898"/>
      <c r="E146" s="736" t="s">
        <v>412</v>
      </c>
      <c r="F146" s="734" t="s">
        <v>412</v>
      </c>
      <c r="G146" s="1667">
        <f>SUMIFS(Титульный!$O$69:$O$292,Титульный!$K$69:$K$292,'КФО 2'!$Q146,Титульный!$L$69:$L$292,'КФО 2'!$R146,Титульный!$N$69:$N$292,'КФО 2'!$S146)</f>
        <v>0</v>
      </c>
      <c r="H146" s="1800">
        <f>SUMIFS(Титульный!$O$69:$O$292,Титульный!$K$69:$K$292,'КФО 2'!$Q146,Титульный!$L$69:$L$292,'КФО 2'!$R146,Титульный!$N$69:$N$292,'КФО 2'!$S146)</f>
        <v>0</v>
      </c>
      <c r="I146" s="736" t="s">
        <v>412</v>
      </c>
      <c r="J146" s="734" t="s">
        <v>412</v>
      </c>
      <c r="K146" s="1886">
        <f>SUMIFS(Титульный!$P$69:$P$292,
Титульный!$K$69:$K$292,'КФО 2'!$Q146,
Титульный!$L$69:$L$292,'КФО 2'!$R146,
Титульный!$N$69:$N$292,'КФО 2'!$S146)</f>
        <v>0</v>
      </c>
      <c r="L146" s="1800">
        <f>SUMIFS(Титульный!$P$69:$P$292,
Титульный!$K$69:$K$292,'КФО 2'!$Q146,
Титульный!$L$69:$L$292,'КФО 2'!$R146,
Титульный!$N$69:$N$292,'КФО 2'!$S146)</f>
        <v>0</v>
      </c>
      <c r="M146" s="736" t="s">
        <v>412</v>
      </c>
      <c r="N146" s="734" t="s">
        <v>412</v>
      </c>
      <c r="O146" s="1886">
        <f>SUMIFS(Титульный!$Q$69:$Q$292,
Титульный!$K$69:$K$292,'КФО 2'!$Q146,
Титульный!$L$69:$L$292,'КФО 2'!$R146,
Титульный!$N$69:$N$292,'КФО 2'!$S146)</f>
        <v>0</v>
      </c>
      <c r="P146" s="1800">
        <f>SUMIFS(Титульный!$Q$69:$Q$292,
Титульный!$K$69:$K$292,'КФО 2'!$Q146,
Титульный!$L$69:$L$292,'КФО 2'!$R146,
Титульный!$N$69:$N$292,'КФО 2'!$S146)</f>
        <v>0</v>
      </c>
      <c r="Q146" s="266">
        <v>2</v>
      </c>
      <c r="R146" s="266">
        <v>244</v>
      </c>
      <c r="S146" s="266">
        <v>228</v>
      </c>
      <c r="T146" s="266"/>
      <c r="Z146" s="137">
        <f t="shared" si="13"/>
        <v>0</v>
      </c>
    </row>
    <row r="147" spans="1:29" s="119" customFormat="1" ht="12" customHeight="1">
      <c r="B147" s="256"/>
      <c r="P147" s="143"/>
      <c r="Q147" s="272"/>
      <c r="R147" s="272"/>
      <c r="S147" s="272"/>
      <c r="T147" s="146"/>
      <c r="Z147" s="137">
        <f t="shared" si="13"/>
        <v>0</v>
      </c>
    </row>
    <row r="148" spans="1:29" s="144" customFormat="1" ht="12" hidden="1" customHeight="1">
      <c r="B148" s="256"/>
      <c r="Q148" s="272"/>
      <c r="R148" s="272"/>
      <c r="S148" s="272"/>
      <c r="T148" s="146"/>
      <c r="Z148" s="137">
        <f t="shared" si="13"/>
        <v>0</v>
      </c>
    </row>
    <row r="149" spans="1:29" s="144" customFormat="1" ht="12" hidden="1" customHeight="1">
      <c r="B149" s="256"/>
      <c r="Q149" s="272"/>
      <c r="R149" s="272"/>
      <c r="S149" s="272"/>
      <c r="T149" s="146"/>
      <c r="Z149" s="137">
        <f t="shared" si="13"/>
        <v>0</v>
      </c>
    </row>
    <row r="150" spans="1:29" s="215" customFormat="1" ht="27.75" customHeight="1">
      <c r="A150" s="1643" t="s">
        <v>585</v>
      </c>
      <c r="B150" s="1643"/>
      <c r="C150" s="1643"/>
      <c r="D150" s="1643"/>
      <c r="E150" s="1643"/>
      <c r="F150" s="1643"/>
      <c r="G150" s="1643"/>
      <c r="H150" s="1643"/>
      <c r="I150" s="1643"/>
      <c r="J150" s="1643"/>
      <c r="K150" s="1643"/>
      <c r="L150" s="1643"/>
      <c r="M150" s="1643"/>
      <c r="N150" s="1643"/>
      <c r="O150" s="1643"/>
      <c r="P150" s="1643"/>
      <c r="Q150" s="266"/>
      <c r="R150" s="266"/>
      <c r="S150" s="266"/>
      <c r="T150" s="214"/>
      <c r="Z150" s="137">
        <f t="shared" si="13"/>
        <v>0</v>
      </c>
    </row>
    <row r="151" spans="1:29" s="119" customFormat="1" ht="12" customHeight="1">
      <c r="B151" s="256"/>
      <c r="P151" s="143"/>
      <c r="Q151" s="272"/>
      <c r="R151" s="272"/>
      <c r="S151" s="272"/>
      <c r="T151" s="146"/>
      <c r="Z151" s="137">
        <f t="shared" si="13"/>
        <v>0</v>
      </c>
    </row>
    <row r="152" spans="1:29" s="119" customFormat="1" ht="33" customHeight="1">
      <c r="A152" s="1687" t="s">
        <v>541</v>
      </c>
      <c r="B152" s="1651" t="s">
        <v>430</v>
      </c>
      <c r="C152" s="1892" t="s">
        <v>553</v>
      </c>
      <c r="D152" s="1696"/>
      <c r="E152" s="1858" t="s">
        <v>1114</v>
      </c>
      <c r="F152" s="1859"/>
      <c r="G152" s="1859"/>
      <c r="H152" s="1887"/>
      <c r="I152" s="1856" t="s">
        <v>1115</v>
      </c>
      <c r="J152" s="1854"/>
      <c r="K152" s="1854"/>
      <c r="L152" s="1855"/>
      <c r="M152" s="1853" t="s">
        <v>1116</v>
      </c>
      <c r="N152" s="1854"/>
      <c r="O152" s="1854"/>
      <c r="P152" s="1855"/>
      <c r="Q152" s="272"/>
      <c r="R152" s="272"/>
      <c r="S152" s="272"/>
      <c r="T152" s="146"/>
      <c r="Z152" s="137">
        <f t="shared" si="13"/>
        <v>0</v>
      </c>
      <c r="AA152" s="137">
        <f>SUM(G155:G163)-SUBTOTAL(109,G155:G163)</f>
        <v>0</v>
      </c>
      <c r="AB152" s="137">
        <f>SUM(K155:L163)-SUBTOTAL(109,K155:L163)</f>
        <v>0</v>
      </c>
      <c r="AC152" s="137">
        <f>SUM(O155:P163)-SUBTOTAL(109,O155:P163)</f>
        <v>0</v>
      </c>
    </row>
    <row r="153" spans="1:29" s="119" customFormat="1" ht="38.25">
      <c r="A153" s="1688"/>
      <c r="B153" s="1684"/>
      <c r="C153" s="1847"/>
      <c r="D153" s="1698"/>
      <c r="E153" s="169" t="s">
        <v>729</v>
      </c>
      <c r="F153" s="171" t="s">
        <v>730</v>
      </c>
      <c r="G153" s="1888" t="s">
        <v>496</v>
      </c>
      <c r="H153" s="1839"/>
      <c r="I153" s="169" t="s">
        <v>729</v>
      </c>
      <c r="J153" s="171" t="s">
        <v>730</v>
      </c>
      <c r="K153" s="1888" t="s">
        <v>496</v>
      </c>
      <c r="L153" s="1839"/>
      <c r="M153" s="169" t="s">
        <v>729</v>
      </c>
      <c r="N153" s="171" t="s">
        <v>730</v>
      </c>
      <c r="O153" s="1888" t="s">
        <v>496</v>
      </c>
      <c r="P153" s="1839"/>
      <c r="Q153" s="272"/>
      <c r="R153" s="272"/>
      <c r="S153" s="272"/>
      <c r="T153" s="146"/>
      <c r="V153" s="143"/>
      <c r="W153" s="143"/>
      <c r="Z153" s="137">
        <f t="shared" ref="Z153:Z184" si="14">SUM(AA153:AW153)</f>
        <v>0</v>
      </c>
    </row>
    <row r="154" spans="1:29" s="119" customFormat="1">
      <c r="A154" s="157" t="s">
        <v>6</v>
      </c>
      <c r="B154" s="366" t="s">
        <v>7</v>
      </c>
      <c r="C154" s="1653" t="s">
        <v>8</v>
      </c>
      <c r="D154" s="1654"/>
      <c r="E154" s="189">
        <v>4</v>
      </c>
      <c r="F154" s="168">
        <v>5</v>
      </c>
      <c r="G154" s="1653" t="s">
        <v>716</v>
      </c>
      <c r="H154" s="1654"/>
      <c r="I154" s="189">
        <v>7</v>
      </c>
      <c r="J154" s="168">
        <v>8</v>
      </c>
      <c r="K154" s="1653" t="s">
        <v>717</v>
      </c>
      <c r="L154" s="1654"/>
      <c r="M154" s="189" t="s">
        <v>413</v>
      </c>
      <c r="N154" s="168" t="s">
        <v>418</v>
      </c>
      <c r="O154" s="1653" t="s">
        <v>499</v>
      </c>
      <c r="P154" s="1654"/>
      <c r="Q154" s="272"/>
      <c r="R154" s="272"/>
      <c r="S154" s="272"/>
      <c r="T154" s="146"/>
      <c r="V154" s="143"/>
      <c r="W154" s="143"/>
      <c r="Z154" s="137">
        <f t="shared" si="14"/>
        <v>0</v>
      </c>
    </row>
    <row r="155" spans="1:29" s="122" customFormat="1" ht="27.75" customHeight="1">
      <c r="A155" s="225">
        <v>244</v>
      </c>
      <c r="B155" s="226"/>
      <c r="C155" s="1810" t="s">
        <v>676</v>
      </c>
      <c r="D155" s="1914"/>
      <c r="E155" s="1247"/>
      <c r="F155" s="1241">
        <f t="shared" ref="F155:F161" si="15">IFERROR(G155/E155,0)</f>
        <v>0</v>
      </c>
      <c r="G155" s="1791"/>
      <c r="H155" s="1674"/>
      <c r="I155" s="1247"/>
      <c r="J155" s="1241">
        <f t="shared" ref="J155:J161" si="16">IFERROR(K155/I155,0)</f>
        <v>0</v>
      </c>
      <c r="K155" s="1638"/>
      <c r="L155" s="1641"/>
      <c r="M155" s="1247"/>
      <c r="N155" s="1241">
        <f t="shared" ref="N155:N161" si="17">IFERROR(O155/M155,0)</f>
        <v>0</v>
      </c>
      <c r="O155" s="1638"/>
      <c r="P155" s="1641"/>
      <c r="Q155" s="266"/>
      <c r="R155" s="266"/>
      <c r="S155" s="266"/>
      <c r="T155" s="149"/>
      <c r="Z155" s="137">
        <f t="shared" si="14"/>
        <v>0</v>
      </c>
    </row>
    <row r="156" spans="1:29" s="122" customFormat="1" ht="27.75" customHeight="1">
      <c r="A156" s="218">
        <v>244</v>
      </c>
      <c r="B156" s="217"/>
      <c r="C156" s="1810" t="s">
        <v>677</v>
      </c>
      <c r="D156" s="1914"/>
      <c r="E156" s="1247"/>
      <c r="F156" s="1241">
        <f t="shared" si="15"/>
        <v>0</v>
      </c>
      <c r="G156" s="1882"/>
      <c r="H156" s="1883"/>
      <c r="I156" s="1247"/>
      <c r="J156" s="1241">
        <f t="shared" si="16"/>
        <v>0</v>
      </c>
      <c r="K156" s="1882"/>
      <c r="L156" s="1883"/>
      <c r="M156" s="1247"/>
      <c r="N156" s="1241">
        <f t="shared" si="17"/>
        <v>0</v>
      </c>
      <c r="O156" s="1882"/>
      <c r="P156" s="1883"/>
      <c r="Q156" s="266"/>
      <c r="R156" s="266"/>
      <c r="S156" s="266"/>
      <c r="T156" s="149"/>
      <c r="Z156" s="137">
        <f t="shared" si="14"/>
        <v>0</v>
      </c>
    </row>
    <row r="157" spans="1:29" s="122" customFormat="1" ht="27.75" customHeight="1">
      <c r="A157" s="218">
        <v>244</v>
      </c>
      <c r="B157" s="217"/>
      <c r="C157" s="1810" t="s">
        <v>678</v>
      </c>
      <c r="D157" s="1914"/>
      <c r="E157" s="1247"/>
      <c r="F157" s="1241">
        <f t="shared" si="15"/>
        <v>0</v>
      </c>
      <c r="G157" s="1882"/>
      <c r="H157" s="1883"/>
      <c r="I157" s="1247"/>
      <c r="J157" s="1241">
        <f t="shared" si="16"/>
        <v>0</v>
      </c>
      <c r="K157" s="1882"/>
      <c r="L157" s="1883"/>
      <c r="M157" s="1247"/>
      <c r="N157" s="1241">
        <f t="shared" si="17"/>
        <v>0</v>
      </c>
      <c r="O157" s="1882"/>
      <c r="P157" s="1883"/>
      <c r="Q157" s="266"/>
      <c r="R157" s="266"/>
      <c r="S157" s="266"/>
      <c r="T157" s="149"/>
      <c r="Z157" s="137">
        <f t="shared" si="14"/>
        <v>0</v>
      </c>
    </row>
    <row r="158" spans="1:29" s="122" customFormat="1" ht="27.75" customHeight="1">
      <c r="A158" s="218">
        <v>244</v>
      </c>
      <c r="B158" s="217"/>
      <c r="C158" s="1810" t="s">
        <v>679</v>
      </c>
      <c r="D158" s="1914"/>
      <c r="E158" s="1247"/>
      <c r="F158" s="1241">
        <f t="shared" si="15"/>
        <v>0</v>
      </c>
      <c r="G158" s="1882"/>
      <c r="H158" s="1883"/>
      <c r="I158" s="1247"/>
      <c r="J158" s="1241">
        <f t="shared" si="16"/>
        <v>0</v>
      </c>
      <c r="K158" s="1882"/>
      <c r="L158" s="1883"/>
      <c r="M158" s="1247"/>
      <c r="N158" s="1241">
        <f t="shared" si="17"/>
        <v>0</v>
      </c>
      <c r="O158" s="1882"/>
      <c r="P158" s="1883"/>
      <c r="Q158" s="266"/>
      <c r="R158" s="266"/>
      <c r="S158" s="266"/>
      <c r="T158" s="149"/>
      <c r="Z158" s="137">
        <f t="shared" si="14"/>
        <v>0</v>
      </c>
    </row>
    <row r="159" spans="1:29" s="122" customFormat="1" ht="27.75" customHeight="1">
      <c r="A159" s="218">
        <v>244</v>
      </c>
      <c r="B159" s="217"/>
      <c r="C159" s="1810" t="s">
        <v>680</v>
      </c>
      <c r="D159" s="1914"/>
      <c r="E159" s="1247"/>
      <c r="F159" s="1241">
        <f t="shared" si="15"/>
        <v>0</v>
      </c>
      <c r="G159" s="1882"/>
      <c r="H159" s="1883"/>
      <c r="I159" s="1247"/>
      <c r="J159" s="1241">
        <f t="shared" si="16"/>
        <v>0</v>
      </c>
      <c r="K159" s="1882"/>
      <c r="L159" s="1883"/>
      <c r="M159" s="1247"/>
      <c r="N159" s="1241">
        <f t="shared" si="17"/>
        <v>0</v>
      </c>
      <c r="O159" s="1882"/>
      <c r="P159" s="1883"/>
      <c r="Q159" s="266"/>
      <c r="R159" s="266"/>
      <c r="S159" s="266"/>
      <c r="T159" s="149"/>
      <c r="Z159" s="137">
        <f t="shared" si="14"/>
        <v>0</v>
      </c>
    </row>
    <row r="160" spans="1:29" s="122" customFormat="1" ht="27.75" customHeight="1">
      <c r="A160" s="218">
        <v>244</v>
      </c>
      <c r="B160" s="217"/>
      <c r="C160" s="1810" t="s">
        <v>681</v>
      </c>
      <c r="D160" s="1914"/>
      <c r="E160" s="1247"/>
      <c r="F160" s="1241">
        <f t="shared" si="15"/>
        <v>0</v>
      </c>
      <c r="G160" s="1882"/>
      <c r="H160" s="1883"/>
      <c r="I160" s="1247"/>
      <c r="J160" s="1241">
        <f t="shared" si="16"/>
        <v>0</v>
      </c>
      <c r="K160" s="1882"/>
      <c r="L160" s="1883"/>
      <c r="M160" s="1247"/>
      <c r="N160" s="1241">
        <f t="shared" si="17"/>
        <v>0</v>
      </c>
      <c r="O160" s="1882"/>
      <c r="P160" s="1883"/>
      <c r="Q160" s="266"/>
      <c r="R160" s="266"/>
      <c r="S160" s="266"/>
      <c r="T160" s="149"/>
      <c r="Z160" s="137">
        <f t="shared" si="14"/>
        <v>0</v>
      </c>
    </row>
    <row r="161" spans="1:29" s="122" customFormat="1" ht="27.75" customHeight="1">
      <c r="A161" s="218">
        <v>244</v>
      </c>
      <c r="B161" s="217"/>
      <c r="C161" s="1810" t="s">
        <v>682</v>
      </c>
      <c r="D161" s="1914"/>
      <c r="E161" s="1247"/>
      <c r="F161" s="1241">
        <f t="shared" si="15"/>
        <v>0</v>
      </c>
      <c r="G161" s="1882"/>
      <c r="H161" s="1883"/>
      <c r="I161" s="1247"/>
      <c r="J161" s="1241">
        <f t="shared" si="16"/>
        <v>0</v>
      </c>
      <c r="K161" s="1882"/>
      <c r="L161" s="1883"/>
      <c r="M161" s="1247"/>
      <c r="N161" s="1241">
        <f t="shared" si="17"/>
        <v>0</v>
      </c>
      <c r="O161" s="1882"/>
      <c r="P161" s="1883"/>
      <c r="Q161" s="266"/>
      <c r="R161" s="266"/>
      <c r="S161" s="266"/>
      <c r="T161" s="149"/>
      <c r="Z161" s="137">
        <f t="shared" si="14"/>
        <v>0</v>
      </c>
    </row>
    <row r="162" spans="1:29" s="122" customFormat="1" ht="27.75" customHeight="1">
      <c r="A162" s="218">
        <v>244</v>
      </c>
      <c r="B162" s="217"/>
      <c r="C162" s="1810" t="s">
        <v>683</v>
      </c>
      <c r="D162" s="1914"/>
      <c r="E162" s="1247"/>
      <c r="F162" s="1241">
        <f>IFERROR(G162/E162,0)</f>
        <v>0</v>
      </c>
      <c r="G162" s="1882"/>
      <c r="H162" s="1883"/>
      <c r="I162" s="1247"/>
      <c r="J162" s="1241">
        <f>IFERROR(K162/I162,0)</f>
        <v>0</v>
      </c>
      <c r="K162" s="1882"/>
      <c r="L162" s="1883"/>
      <c r="M162" s="1247"/>
      <c r="N162" s="1241">
        <f>IFERROR(O162/M162,0)</f>
        <v>0</v>
      </c>
      <c r="O162" s="1882"/>
      <c r="P162" s="1883"/>
      <c r="Q162" s="266"/>
      <c r="R162" s="266"/>
      <c r="S162" s="266"/>
      <c r="T162" s="149"/>
      <c r="Z162" s="137">
        <f t="shared" si="14"/>
        <v>0</v>
      </c>
    </row>
    <row r="163" spans="1:29" s="122" customFormat="1" ht="27.75" customHeight="1">
      <c r="A163" s="243">
        <v>244</v>
      </c>
      <c r="B163" s="246"/>
      <c r="C163" s="1810" t="s">
        <v>684</v>
      </c>
      <c r="D163" s="1914"/>
      <c r="E163" s="1247"/>
      <c r="F163" s="1241">
        <f>IFERROR(G163/E163,0)</f>
        <v>0</v>
      </c>
      <c r="G163" s="1792">
        <f>G164-SUM(G155:H162)</f>
        <v>0</v>
      </c>
      <c r="H163" s="1793"/>
      <c r="I163" s="1247"/>
      <c r="J163" s="1241">
        <f>IFERROR(K163/I163,0)</f>
        <v>0</v>
      </c>
      <c r="K163" s="1638">
        <f>K164-SUM(K155:L162)</f>
        <v>0</v>
      </c>
      <c r="L163" s="1641"/>
      <c r="M163" s="1247"/>
      <c r="N163" s="1241">
        <f>IFERROR(O163/M163,0)</f>
        <v>0</v>
      </c>
      <c r="O163" s="1638">
        <f>O164-SUM(O155:P162)</f>
        <v>0</v>
      </c>
      <c r="P163" s="1641"/>
      <c r="Q163" s="266"/>
      <c r="R163" s="266"/>
      <c r="S163" s="266"/>
      <c r="T163" s="149"/>
      <c r="Z163" s="137">
        <f t="shared" si="14"/>
        <v>0</v>
      </c>
    </row>
    <row r="164" spans="1:29" s="267" customFormat="1" ht="27.75" customHeight="1">
      <c r="A164" s="258"/>
      <c r="B164" s="261"/>
      <c r="C164" s="1897" t="s">
        <v>554</v>
      </c>
      <c r="D164" s="1898"/>
      <c r="E164" s="736" t="s">
        <v>412</v>
      </c>
      <c r="F164" s="734" t="s">
        <v>412</v>
      </c>
      <c r="G164" s="1886">
        <f>SUMIFS(Титульный!$O$69:$O$292,
Титульный!$K$69:$K$292,'КФО 2'!$Q164,
Титульный!$L$69:$L$292,'КФО 2'!$R164,
Титульный!$N$69:$N$292,'КФО 2'!$S164)</f>
        <v>0</v>
      </c>
      <c r="H164" s="1800">
        <f>SUMIFS(Титульный!$O$69:$O$292,Титульный!$K$69:$K$292,'КФО 2'!$Q164,Титульный!$L$69:$L$292,'КФО 2'!$R164,Титульный!$N$69:$N$292,'КФО 2'!$S164)</f>
        <v>0</v>
      </c>
      <c r="I164" s="736" t="s">
        <v>412</v>
      </c>
      <c r="J164" s="734" t="s">
        <v>412</v>
      </c>
      <c r="K164" s="1886">
        <f>SUMIFS(Титульный!$P$69:$P$292,
Титульный!$K$69:$K$292,'КФО 2'!$Q164,
Титульный!$L$69:$L$292,'КФО 2'!$R164,
Титульный!$N$69:$N$292,'КФО 2'!$S164)</f>
        <v>0</v>
      </c>
      <c r="L164" s="1800">
        <f>SUMIFS(Титульный!$P$69:$P$292,
Титульный!$K$69:$K$292,'КФО 2'!$Q164,
Титульный!$L$69:$L$292,'КФО 2'!$R164,
Титульный!$N$69:$N$292,'КФО 2'!$S164)</f>
        <v>0</v>
      </c>
      <c r="M164" s="736" t="s">
        <v>412</v>
      </c>
      <c r="N164" s="734" t="s">
        <v>412</v>
      </c>
      <c r="O164" s="1886">
        <f>SUMIFS(Титульный!$Q$69:$Q$292,
Титульный!$K$69:$K$292,'КФО 2'!$Q164,
Титульный!$L$69:$L$292,'КФО 2'!$R164,
Титульный!$N$69:$N$292,'КФО 2'!$S164)</f>
        <v>0</v>
      </c>
      <c r="P164" s="1800">
        <f>SUMIFS(Титульный!$Q$69:$Q$292,
Титульный!$K$69:$K$292,'КФО 2'!$Q164,
Титульный!$L$69:$L$292,'КФО 2'!$R164,
Титульный!$N$69:$N$292,'КФО 2'!$S164)</f>
        <v>0</v>
      </c>
      <c r="Q164" s="266">
        <v>2</v>
      </c>
      <c r="R164" s="266">
        <v>244</v>
      </c>
      <c r="S164" s="266">
        <v>310</v>
      </c>
      <c r="T164" s="266"/>
      <c r="Z164" s="137">
        <f t="shared" si="14"/>
        <v>0</v>
      </c>
    </row>
    <row r="165" spans="1:29" s="119" customFormat="1" ht="12" customHeight="1">
      <c r="B165" s="256"/>
      <c r="D165" s="143"/>
      <c r="E165" s="143"/>
      <c r="F165" s="143"/>
      <c r="G165" s="143"/>
      <c r="H165" s="143"/>
      <c r="I165" s="143"/>
      <c r="P165" s="143"/>
      <c r="Q165" s="272"/>
      <c r="R165" s="272"/>
      <c r="S165" s="272"/>
      <c r="T165" s="146"/>
      <c r="Z165" s="137">
        <f t="shared" si="14"/>
        <v>0</v>
      </c>
    </row>
    <row r="166" spans="1:29" s="144" customFormat="1" ht="12" hidden="1" customHeight="1">
      <c r="B166" s="256"/>
      <c r="Q166" s="272"/>
      <c r="R166" s="272"/>
      <c r="S166" s="272"/>
      <c r="T166" s="146"/>
      <c r="Z166" s="137">
        <f t="shared" si="14"/>
        <v>0</v>
      </c>
    </row>
    <row r="167" spans="1:29" s="144" customFormat="1" ht="12" hidden="1" customHeight="1">
      <c r="B167" s="256"/>
      <c r="Q167" s="272"/>
      <c r="R167" s="272"/>
      <c r="S167" s="272"/>
      <c r="T167" s="146"/>
      <c r="Z167" s="137">
        <f t="shared" si="14"/>
        <v>0</v>
      </c>
    </row>
    <row r="168" spans="1:29" s="215" customFormat="1" ht="27.75" customHeight="1">
      <c r="A168" s="1643" t="s">
        <v>586</v>
      </c>
      <c r="B168" s="1643"/>
      <c r="C168" s="1643"/>
      <c r="D168" s="1643"/>
      <c r="E168" s="1643"/>
      <c r="F168" s="1643"/>
      <c r="G168" s="1643"/>
      <c r="H168" s="1643"/>
      <c r="I168" s="1643"/>
      <c r="J168" s="1643"/>
      <c r="K168" s="1643"/>
      <c r="L168" s="1643"/>
      <c r="M168" s="1643"/>
      <c r="N168" s="1643"/>
      <c r="O168" s="1643"/>
      <c r="P168" s="1643"/>
      <c r="Q168" s="266"/>
      <c r="R168" s="266"/>
      <c r="S168" s="266"/>
      <c r="T168" s="214"/>
      <c r="Z168" s="137">
        <f t="shared" si="14"/>
        <v>0</v>
      </c>
    </row>
    <row r="169" spans="1:29" s="119" customFormat="1" ht="12" customHeight="1">
      <c r="B169" s="256"/>
      <c r="P169" s="143"/>
      <c r="Q169" s="272"/>
      <c r="R169" s="272"/>
      <c r="S169" s="272"/>
      <c r="T169" s="146"/>
      <c r="Z169" s="137">
        <f t="shared" si="14"/>
        <v>0</v>
      </c>
    </row>
    <row r="170" spans="1:29" s="119" customFormat="1" ht="33" customHeight="1">
      <c r="A170" s="1687" t="s">
        <v>541</v>
      </c>
      <c r="B170" s="1651" t="s">
        <v>430</v>
      </c>
      <c r="C170" s="1892" t="s">
        <v>0</v>
      </c>
      <c r="D170" s="1696" t="s">
        <v>211</v>
      </c>
      <c r="E170" s="1858" t="s">
        <v>1114</v>
      </c>
      <c r="F170" s="1859"/>
      <c r="G170" s="1859"/>
      <c r="H170" s="1887"/>
      <c r="I170" s="1856" t="s">
        <v>1115</v>
      </c>
      <c r="J170" s="1854"/>
      <c r="K170" s="1854"/>
      <c r="L170" s="1855"/>
      <c r="M170" s="1853" t="s">
        <v>1116</v>
      </c>
      <c r="N170" s="1854"/>
      <c r="O170" s="1854"/>
      <c r="P170" s="1855"/>
      <c r="Q170" s="272"/>
      <c r="R170" s="272"/>
      <c r="S170" s="272"/>
      <c r="T170" s="146"/>
      <c r="Z170" s="137">
        <f t="shared" si="14"/>
        <v>0</v>
      </c>
      <c r="AA170" s="137">
        <f>SUM(G173:G181)-SUBTOTAL(109,G173:G181)</f>
        <v>0</v>
      </c>
      <c r="AB170" s="137">
        <f>SUM(K173:L181)-SUBTOTAL(109,K173:L181)</f>
        <v>0</v>
      </c>
      <c r="AC170" s="137">
        <f>SUM(O173:P181)-SUBTOTAL(109,O173:P181)</f>
        <v>0</v>
      </c>
    </row>
    <row r="171" spans="1:29" s="119" customFormat="1" ht="25.5">
      <c r="A171" s="1688"/>
      <c r="B171" s="1684"/>
      <c r="C171" s="1847"/>
      <c r="D171" s="1698"/>
      <c r="E171" s="169" t="s">
        <v>729</v>
      </c>
      <c r="F171" s="171" t="s">
        <v>587</v>
      </c>
      <c r="G171" s="1888" t="s">
        <v>496</v>
      </c>
      <c r="H171" s="1839"/>
      <c r="I171" s="169" t="s">
        <v>729</v>
      </c>
      <c r="J171" s="171" t="s">
        <v>587</v>
      </c>
      <c r="K171" s="1888" t="s">
        <v>496</v>
      </c>
      <c r="L171" s="1839"/>
      <c r="M171" s="169" t="s">
        <v>729</v>
      </c>
      <c r="N171" s="171" t="s">
        <v>587</v>
      </c>
      <c r="O171" s="1888" t="s">
        <v>496</v>
      </c>
      <c r="P171" s="1839"/>
      <c r="Q171" s="272"/>
      <c r="R171" s="272"/>
      <c r="S171" s="272"/>
      <c r="T171" s="146"/>
      <c r="Z171" s="137">
        <f t="shared" si="14"/>
        <v>0</v>
      </c>
    </row>
    <row r="172" spans="1:29" s="119" customFormat="1">
      <c r="A172" s="157" t="s">
        <v>6</v>
      </c>
      <c r="B172" s="358" t="s">
        <v>7</v>
      </c>
      <c r="C172" s="158" t="s">
        <v>8</v>
      </c>
      <c r="D172" s="160" t="s">
        <v>9</v>
      </c>
      <c r="E172" s="189">
        <v>4</v>
      </c>
      <c r="F172" s="168">
        <v>5</v>
      </c>
      <c r="G172" s="1653" t="s">
        <v>716</v>
      </c>
      <c r="H172" s="1654"/>
      <c r="I172" s="189">
        <v>7</v>
      </c>
      <c r="J172" s="168">
        <v>8</v>
      </c>
      <c r="K172" s="1653" t="s">
        <v>717</v>
      </c>
      <c r="L172" s="1654"/>
      <c r="M172" s="189" t="s">
        <v>413</v>
      </c>
      <c r="N172" s="168" t="s">
        <v>418</v>
      </c>
      <c r="O172" s="1653" t="s">
        <v>499</v>
      </c>
      <c r="P172" s="1654"/>
      <c r="Q172" s="272"/>
      <c r="R172" s="272"/>
      <c r="S172" s="272"/>
      <c r="T172" s="146"/>
      <c r="Z172" s="137">
        <f t="shared" si="14"/>
        <v>0</v>
      </c>
    </row>
    <row r="173" spans="1:29" s="122" customFormat="1" ht="29.45" customHeight="1">
      <c r="A173" s="225">
        <v>244</v>
      </c>
      <c r="B173" s="254"/>
      <c r="C173" s="268" t="s">
        <v>685</v>
      </c>
      <c r="D173" s="228" t="s">
        <v>715</v>
      </c>
      <c r="E173" s="1247">
        <f>ROUNDUP(G173/300,0)</f>
        <v>0</v>
      </c>
      <c r="F173" s="1241">
        <f>IFERROR(ROUND(G173/E173,2),0)</f>
        <v>0</v>
      </c>
      <c r="G173" s="1791">
        <f>SUMIFS(Титульный!$O$69:$O$292,Титульный!$K$69:$K$292,'КФО 2'!$Q173,Титульный!$L$69:$L$292,'КФО 2'!$R173,Титульный!$N$69:$N$292,'КФО 2'!$S173)</f>
        <v>0</v>
      </c>
      <c r="H173" s="1674"/>
      <c r="I173" s="1247">
        <f>ROUNDUP(K173/300,0)</f>
        <v>0</v>
      </c>
      <c r="J173" s="1241">
        <f t="shared" ref="J173:J180" si="18">IFERROR(ROUND(K173/I173,2),0)</f>
        <v>0</v>
      </c>
      <c r="K173" s="1885">
        <f>SUMIFS(Титульный!$P$69:$P$292,
Титульный!$K$69:$K$292,'КФО 2'!$Q173,
Титульный!$L$69:$L$292,'КФО 2'!$R173,
Титульный!$N$69:$N$292,'КФО 2'!$S173)</f>
        <v>0</v>
      </c>
      <c r="L173" s="1674"/>
      <c r="M173" s="1247">
        <f>ROUNDUP(O173/300,0)</f>
        <v>0</v>
      </c>
      <c r="N173" s="1241">
        <f t="shared" ref="N173:N180" si="19">IFERROR(ROUND(O173/M173,2),0)</f>
        <v>0</v>
      </c>
      <c r="O173" s="1885">
        <f>SUMIFS(Титульный!$Q$69:$Q$292,
Титульный!$K$69:$K$292,'КФО 2'!$Q173,
Титульный!$L$69:$L$292,'КФО 2'!$R173,
Титульный!$N$69:$N$292,'КФО 2'!$S173)</f>
        <v>0</v>
      </c>
      <c r="P173" s="1674"/>
      <c r="Q173" s="266">
        <v>2</v>
      </c>
      <c r="R173" s="266">
        <v>244</v>
      </c>
      <c r="S173" s="266">
        <v>341</v>
      </c>
      <c r="T173" s="149"/>
      <c r="Z173" s="137">
        <f t="shared" si="14"/>
        <v>0</v>
      </c>
    </row>
    <row r="174" spans="1:29" s="122" customFormat="1" ht="27.75" customHeight="1">
      <c r="A174" s="218">
        <v>244</v>
      </c>
      <c r="B174" s="216"/>
      <c r="C174" s="230" t="s">
        <v>686</v>
      </c>
      <c r="D174" s="219" t="s">
        <v>715</v>
      </c>
      <c r="E174" s="1247">
        <f>ROUNDUP(G174/165,0)</f>
        <v>0</v>
      </c>
      <c r="F174" s="1241">
        <f t="shared" ref="F174:F180" si="20">IFERROR(ROUND(G174/E174,2),0)</f>
        <v>0</v>
      </c>
      <c r="G174" s="1882">
        <f>SUMIFS(Титульный!$O$69:$O$292,Титульный!$K$69:$K$292,'КФО 2'!$Q174,Титульный!$L$69:$L$292,'КФО 2'!$R174,Титульный!$N$69:$N$292,'КФО 2'!$S174)</f>
        <v>0</v>
      </c>
      <c r="H174" s="1883"/>
      <c r="I174" s="1247">
        <f>ROUNDUP(K174/165,0)</f>
        <v>0</v>
      </c>
      <c r="J174" s="1241">
        <f t="shared" si="18"/>
        <v>0</v>
      </c>
      <c r="K174" s="1884">
        <f>SUMIFS(Титульный!$P$69:$P$292,
Титульный!$K$69:$K$292,'КФО 2'!$Q174,
Титульный!$L$69:$L$292,'КФО 2'!$R174,
Титульный!$N$69:$N$292,'КФО 2'!$S174)</f>
        <v>0</v>
      </c>
      <c r="L174" s="1883"/>
      <c r="M174" s="1247">
        <f>ROUNDUP(O174/165,0)</f>
        <v>0</v>
      </c>
      <c r="N174" s="1241">
        <f t="shared" si="19"/>
        <v>0</v>
      </c>
      <c r="O174" s="1884">
        <f>SUMIFS(Титульный!$Q$69:$Q$292,
Титульный!$K$69:$K$292,'КФО 2'!$Q174,
Титульный!$L$69:$L$292,'КФО 2'!$R174,
Титульный!$N$69:$N$292,'КФО 2'!$S174)</f>
        <v>0</v>
      </c>
      <c r="P174" s="1883"/>
      <c r="Q174" s="266">
        <v>2</v>
      </c>
      <c r="R174" s="266">
        <v>244</v>
      </c>
      <c r="S174" s="266">
        <v>342</v>
      </c>
      <c r="T174" s="149"/>
      <c r="Z174" s="137">
        <f t="shared" si="14"/>
        <v>0</v>
      </c>
    </row>
    <row r="175" spans="1:29" s="122" customFormat="1" ht="27.75" customHeight="1">
      <c r="A175" s="218">
        <v>244</v>
      </c>
      <c r="B175" s="216"/>
      <c r="C175" s="230" t="s">
        <v>249</v>
      </c>
      <c r="D175" s="219" t="s">
        <v>724</v>
      </c>
      <c r="E175" s="1247">
        <f>ROUNDUP(G175/50,0)</f>
        <v>0</v>
      </c>
      <c r="F175" s="1241">
        <f t="shared" si="20"/>
        <v>0</v>
      </c>
      <c r="G175" s="1882">
        <f>SUMIFS(Титульный!$O$69:$O$292,Титульный!$K$69:$K$292,'КФО 2'!$Q175,Титульный!$L$69:$L$292,'КФО 2'!$R175,Титульный!$N$69:$N$292,'КФО 2'!$S175)</f>
        <v>0</v>
      </c>
      <c r="H175" s="1883"/>
      <c r="I175" s="1247">
        <f>ROUNDUP(K175/50,0)</f>
        <v>0</v>
      </c>
      <c r="J175" s="1241">
        <f t="shared" si="18"/>
        <v>0</v>
      </c>
      <c r="K175" s="1884">
        <f>SUMIFS(Титульный!$P$69:$P$292,
Титульный!$K$69:$K$292,'КФО 2'!$Q175,
Титульный!$L$69:$L$292,'КФО 2'!$R175,
Титульный!$N$69:$N$292,'КФО 2'!$S175)</f>
        <v>0</v>
      </c>
      <c r="L175" s="1883"/>
      <c r="M175" s="1247">
        <f>ROUNDUP(O175/50,0)</f>
        <v>0</v>
      </c>
      <c r="N175" s="1241">
        <f t="shared" si="19"/>
        <v>0</v>
      </c>
      <c r="O175" s="1884">
        <f>SUMIFS(Титульный!$Q$69:$Q$292,
Титульный!$K$69:$K$292,'КФО 2'!$Q175,
Титульный!$L$69:$L$292,'КФО 2'!$R175,
Титульный!$N$69:$N$292,'КФО 2'!$S175)</f>
        <v>0</v>
      </c>
      <c r="P175" s="1883"/>
      <c r="Q175" s="266">
        <v>2</v>
      </c>
      <c r="R175" s="266">
        <v>244</v>
      </c>
      <c r="S175" s="266">
        <v>343</v>
      </c>
      <c r="T175" s="149"/>
      <c r="Z175" s="137">
        <f t="shared" si="14"/>
        <v>0</v>
      </c>
    </row>
    <row r="176" spans="1:29" s="122" customFormat="1" ht="27.75" customHeight="1">
      <c r="A176" s="218">
        <v>244</v>
      </c>
      <c r="B176" s="216"/>
      <c r="C176" s="230" t="s">
        <v>250</v>
      </c>
      <c r="D176" s="219" t="s">
        <v>715</v>
      </c>
      <c r="E176" s="1247">
        <f>ROUNDUP(G176/1300,0)</f>
        <v>0</v>
      </c>
      <c r="F176" s="1241">
        <f t="shared" si="20"/>
        <v>0</v>
      </c>
      <c r="G176" s="1882">
        <f>SUMIFS(Титульный!$O$69:$O$292,Титульный!$K$69:$K$292,'КФО 2'!$Q176,Титульный!$L$69:$L$292,'КФО 2'!$R176,Титульный!$N$69:$N$292,'КФО 2'!$S176)</f>
        <v>0</v>
      </c>
      <c r="H176" s="1883"/>
      <c r="I176" s="1247">
        <f>ROUNDUP(K176/1300,0)</f>
        <v>0</v>
      </c>
      <c r="J176" s="1241">
        <f t="shared" si="18"/>
        <v>0</v>
      </c>
      <c r="K176" s="1884">
        <f>SUMIFS(Титульный!$P$69:$P$292,
Титульный!$K$69:$K$292,'КФО 2'!$Q176,
Титульный!$L$69:$L$292,'КФО 2'!$R176,
Титульный!$N$69:$N$292,'КФО 2'!$S176)</f>
        <v>0</v>
      </c>
      <c r="L176" s="1883"/>
      <c r="M176" s="1247">
        <f>ROUNDUP(O176/1300,0)</f>
        <v>0</v>
      </c>
      <c r="N176" s="1241">
        <f t="shared" si="19"/>
        <v>0</v>
      </c>
      <c r="O176" s="1884">
        <f>SUMIFS(Титульный!$Q$69:$Q$292,
Титульный!$K$69:$K$292,'КФО 2'!$Q176,
Титульный!$L$69:$L$292,'КФО 2'!$R176,
Титульный!$N$69:$N$292,'КФО 2'!$S176)</f>
        <v>0</v>
      </c>
      <c r="P176" s="1883"/>
      <c r="Q176" s="266">
        <v>2</v>
      </c>
      <c r="R176" s="266">
        <v>244</v>
      </c>
      <c r="S176" s="266">
        <v>344</v>
      </c>
      <c r="T176" s="149"/>
      <c r="Z176" s="137">
        <f t="shared" si="14"/>
        <v>0</v>
      </c>
    </row>
    <row r="177" spans="1:26" s="122" customFormat="1" ht="31.9" customHeight="1">
      <c r="A177" s="218">
        <v>244</v>
      </c>
      <c r="B177" s="216"/>
      <c r="C177" s="230" t="s">
        <v>740</v>
      </c>
      <c r="D177" s="219" t="s">
        <v>715</v>
      </c>
      <c r="E177" s="1247">
        <f>ROUNDUP(G177/600,0)</f>
        <v>0</v>
      </c>
      <c r="F177" s="1241">
        <f t="shared" si="20"/>
        <v>0</v>
      </c>
      <c r="G177" s="1882">
        <f>SUMIFS(Титульный!$O$69:$O$292,Титульный!$K$69:$K$292,'КФО 2'!$Q177,Титульный!$L$69:$L$292,'КФО 2'!$R177,Титульный!$N$69:$N$292,'КФО 2'!$S177)</f>
        <v>0</v>
      </c>
      <c r="H177" s="1883"/>
      <c r="I177" s="1247">
        <f>ROUNDUP(K177/600,0)</f>
        <v>0</v>
      </c>
      <c r="J177" s="1241">
        <f t="shared" si="18"/>
        <v>0</v>
      </c>
      <c r="K177" s="1884">
        <f>SUMIFS(Титульный!$P$69:$P$292,
Титульный!$K$69:$K$292,'КФО 2'!$Q177,
Титульный!$L$69:$L$292,'КФО 2'!$R177,
Титульный!$N$69:$N$292,'КФО 2'!$S177)</f>
        <v>0</v>
      </c>
      <c r="L177" s="1883"/>
      <c r="M177" s="1247">
        <f>ROUNDUP(O177/600,0)</f>
        <v>0</v>
      </c>
      <c r="N177" s="1241">
        <f t="shared" si="19"/>
        <v>0</v>
      </c>
      <c r="O177" s="1884">
        <f>SUMIFS(Титульный!$Q$69:$Q$292,
Титульный!$K$69:$K$292,'КФО 2'!$Q177,
Титульный!$L$69:$L$292,'КФО 2'!$R177,
Титульный!$N$69:$N$292,'КФО 2'!$S177)</f>
        <v>0</v>
      </c>
      <c r="P177" s="1883"/>
      <c r="Q177" s="266">
        <v>2</v>
      </c>
      <c r="R177" s="266">
        <v>244</v>
      </c>
      <c r="S177" s="266">
        <v>345</v>
      </c>
      <c r="T177" s="149"/>
      <c r="Z177" s="137">
        <f t="shared" si="14"/>
        <v>0</v>
      </c>
    </row>
    <row r="178" spans="1:26" s="122" customFormat="1" ht="27.75" customHeight="1">
      <c r="A178" s="218">
        <v>244</v>
      </c>
      <c r="B178" s="216"/>
      <c r="C178" s="230" t="s">
        <v>688</v>
      </c>
      <c r="D178" s="219" t="s">
        <v>715</v>
      </c>
      <c r="E178" s="1247">
        <f>ROUNDUP(G178/1010,0)</f>
        <v>171</v>
      </c>
      <c r="F178" s="1241">
        <f t="shared" si="20"/>
        <v>1005.01</v>
      </c>
      <c r="G178" s="1882">
        <f>SUMIFS(Титульный!$O$69:$O$292,Титульный!$K$69:$K$292,'КФО 2'!$Q178,Титульный!$L$69:$L$292,'КФО 2'!$R178,Титульный!$N$69:$N$292,'КФО 2'!$S178)</f>
        <v>171856.54</v>
      </c>
      <c r="H178" s="1883"/>
      <c r="I178" s="1247">
        <f>ROUNDUP(K178/1010,0)</f>
        <v>0</v>
      </c>
      <c r="J178" s="1241">
        <f t="shared" si="18"/>
        <v>0</v>
      </c>
      <c r="K178" s="1884">
        <f>SUMIFS(Титульный!$P$69:$P$292,
Титульный!$K$69:$K$292,'КФО 2'!$Q178,
Титульный!$L$69:$L$292,'КФО 2'!$R178,
Титульный!$N$69:$N$292,'КФО 2'!$S178)</f>
        <v>0</v>
      </c>
      <c r="L178" s="1883"/>
      <c r="M178" s="1247">
        <f>ROUNDUP(O178/1010,0)</f>
        <v>0</v>
      </c>
      <c r="N178" s="1241">
        <f t="shared" si="19"/>
        <v>0</v>
      </c>
      <c r="O178" s="1884">
        <f>SUMIFS(Титульный!$Q$69:$Q$292,
Титульный!$K$69:$K$292,'КФО 2'!$Q178,
Титульный!$L$69:$L$292,'КФО 2'!$R178,
Титульный!$N$69:$N$292,'КФО 2'!$S178)</f>
        <v>0</v>
      </c>
      <c r="P178" s="1883"/>
      <c r="Q178" s="266">
        <v>2</v>
      </c>
      <c r="R178" s="266">
        <v>244</v>
      </c>
      <c r="S178" s="266">
        <v>346</v>
      </c>
      <c r="T178" s="149"/>
      <c r="Z178" s="137">
        <f t="shared" si="14"/>
        <v>0</v>
      </c>
    </row>
    <row r="179" spans="1:26" s="122" customFormat="1" ht="27.75" customHeight="1">
      <c r="A179" s="218">
        <v>244</v>
      </c>
      <c r="B179" s="216"/>
      <c r="C179" s="230" t="s">
        <v>253</v>
      </c>
      <c r="D179" s="219" t="s">
        <v>715</v>
      </c>
      <c r="E179" s="1247">
        <f>ROUNDUP(G179/2000,0)</f>
        <v>0</v>
      </c>
      <c r="F179" s="1241">
        <f t="shared" si="20"/>
        <v>0</v>
      </c>
      <c r="G179" s="1882">
        <f>SUMIFS(Титульный!$O$69:$O$292,Титульный!$K$69:$K$292,'КФО 2'!$Q179,Титульный!$L$69:$L$292,'КФО 2'!$R179,Титульный!$N$69:$N$292,'КФО 2'!$S179)</f>
        <v>0</v>
      </c>
      <c r="H179" s="1883"/>
      <c r="I179" s="1247">
        <f>ROUNDUP(K179/2000,0)</f>
        <v>0</v>
      </c>
      <c r="J179" s="1241">
        <f t="shared" si="18"/>
        <v>0</v>
      </c>
      <c r="K179" s="1884">
        <f>SUMIFS(Титульный!$P$69:$P$292,
Титульный!$K$69:$K$292,'КФО 2'!$Q179,
Титульный!$L$69:$L$292,'КФО 2'!$R179,
Титульный!$N$69:$N$292,'КФО 2'!$S179)</f>
        <v>0</v>
      </c>
      <c r="L179" s="1883"/>
      <c r="M179" s="1247">
        <f>ROUNDUP(O179/2000,0)</f>
        <v>0</v>
      </c>
      <c r="N179" s="1241">
        <f t="shared" si="19"/>
        <v>0</v>
      </c>
      <c r="O179" s="1884">
        <f>SUMIFS(Титульный!$Q$69:$Q$292,
Титульный!$K$69:$K$292,'КФО 2'!$Q179,
Титульный!$L$69:$L$292,'КФО 2'!$R179,
Титульный!$N$69:$N$292,'КФО 2'!$S179)</f>
        <v>0</v>
      </c>
      <c r="P179" s="1883"/>
      <c r="Q179" s="266">
        <v>2</v>
      </c>
      <c r="R179" s="266">
        <v>244</v>
      </c>
      <c r="S179" s="266">
        <v>347</v>
      </c>
      <c r="T179" s="149"/>
      <c r="Z179" s="137">
        <f t="shared" si="14"/>
        <v>0</v>
      </c>
    </row>
    <row r="180" spans="1:26" s="122" customFormat="1" ht="27.75" customHeight="1">
      <c r="A180" s="218">
        <v>244</v>
      </c>
      <c r="B180" s="216"/>
      <c r="C180" s="230" t="s">
        <v>254</v>
      </c>
      <c r="D180" s="219" t="s">
        <v>715</v>
      </c>
      <c r="E180" s="1247">
        <f>ROUNDUP(G180/150,0)</f>
        <v>0</v>
      </c>
      <c r="F180" s="1241">
        <f t="shared" si="20"/>
        <v>0</v>
      </c>
      <c r="G180" s="1882">
        <f>SUMIFS(Титульный!$O$69:$O$292,Титульный!$K$69:$K$292,'КФО 2'!$Q180,Титульный!$L$69:$L$292,'КФО 2'!$R180,Титульный!$N$69:$N$292,'КФО 2'!$S180)</f>
        <v>0</v>
      </c>
      <c r="H180" s="1883"/>
      <c r="I180" s="1247">
        <f>ROUNDUP(K180/150,0)</f>
        <v>0</v>
      </c>
      <c r="J180" s="1241">
        <f t="shared" si="18"/>
        <v>0</v>
      </c>
      <c r="K180" s="1884">
        <f>SUMIFS(Титульный!$P$69:$P$292,
Титульный!$K$69:$K$292,'КФО 2'!$Q180,
Титульный!$L$69:$L$292,'КФО 2'!$R180,
Титульный!$N$69:$N$292,'КФО 2'!$S180)</f>
        <v>0</v>
      </c>
      <c r="L180" s="1883"/>
      <c r="M180" s="1247">
        <f>ROUNDUP(O180/150,0)</f>
        <v>0</v>
      </c>
      <c r="N180" s="1241">
        <f t="shared" si="19"/>
        <v>0</v>
      </c>
      <c r="O180" s="1884">
        <f>SUMIFS(Титульный!$Q$69:$Q$292,
Титульный!$K$69:$K$292,'КФО 2'!$Q180,
Титульный!$L$69:$L$292,'КФО 2'!$R180,
Титульный!$N$69:$N$292,'КФО 2'!$S180)</f>
        <v>0</v>
      </c>
      <c r="P180" s="1883"/>
      <c r="Q180" s="266">
        <v>2</v>
      </c>
      <c r="R180" s="266">
        <v>244</v>
      </c>
      <c r="S180" s="266">
        <v>349</v>
      </c>
      <c r="T180" s="149"/>
      <c r="Z180" s="137">
        <f t="shared" si="14"/>
        <v>0</v>
      </c>
    </row>
    <row r="181" spans="1:26" s="122" customFormat="1" ht="27.75" hidden="1" customHeight="1">
      <c r="A181" s="218">
        <v>244</v>
      </c>
      <c r="B181" s="216">
        <v>9</v>
      </c>
      <c r="C181" s="230"/>
      <c r="D181" s="219"/>
      <c r="E181" s="723"/>
      <c r="F181" s="716"/>
      <c r="G181" s="1638"/>
      <c r="H181" s="1641"/>
      <c r="I181" s="723"/>
      <c r="J181" s="716"/>
      <c r="K181" s="1638"/>
      <c r="L181" s="1641"/>
      <c r="M181" s="723"/>
      <c r="N181" s="716"/>
      <c r="O181" s="1638"/>
      <c r="P181" s="1641"/>
      <c r="Q181" s="266"/>
      <c r="R181" s="266"/>
      <c r="S181" s="266"/>
      <c r="T181" s="149"/>
      <c r="Z181" s="137">
        <f t="shared" si="14"/>
        <v>0</v>
      </c>
    </row>
    <row r="182" spans="1:26" s="122" customFormat="1" ht="27.75" hidden="1" customHeight="1">
      <c r="A182" s="218">
        <v>244</v>
      </c>
      <c r="B182" s="216">
        <v>10</v>
      </c>
      <c r="C182" s="230"/>
      <c r="D182" s="219"/>
      <c r="E182" s="723"/>
      <c r="F182" s="716"/>
      <c r="G182" s="1638"/>
      <c r="H182" s="1641"/>
      <c r="I182" s="723"/>
      <c r="J182" s="716"/>
      <c r="K182" s="1638"/>
      <c r="L182" s="1641"/>
      <c r="M182" s="723"/>
      <c r="N182" s="716"/>
      <c r="O182" s="1638"/>
      <c r="P182" s="1641"/>
      <c r="Q182" s="266"/>
      <c r="R182" s="266"/>
      <c r="S182" s="266"/>
      <c r="T182" s="149"/>
      <c r="Z182" s="137">
        <f t="shared" si="14"/>
        <v>0</v>
      </c>
    </row>
    <row r="183" spans="1:26" s="122" customFormat="1" ht="27.75" hidden="1" customHeight="1">
      <c r="A183" s="218">
        <v>244</v>
      </c>
      <c r="B183" s="216">
        <v>11</v>
      </c>
      <c r="C183" s="230"/>
      <c r="D183" s="219"/>
      <c r="E183" s="723"/>
      <c r="F183" s="716"/>
      <c r="G183" s="1638"/>
      <c r="H183" s="1641"/>
      <c r="I183" s="723"/>
      <c r="J183" s="716"/>
      <c r="K183" s="1638"/>
      <c r="L183" s="1641"/>
      <c r="M183" s="723"/>
      <c r="N183" s="716"/>
      <c r="O183" s="1638"/>
      <c r="P183" s="1641"/>
      <c r="Q183" s="266"/>
      <c r="R183" s="266"/>
      <c r="S183" s="266"/>
      <c r="T183" s="149"/>
      <c r="Z183" s="137">
        <f t="shared" si="14"/>
        <v>0</v>
      </c>
    </row>
    <row r="184" spans="1:26" s="122" customFormat="1" ht="27.75" hidden="1" customHeight="1">
      <c r="A184" s="218">
        <v>244</v>
      </c>
      <c r="B184" s="216">
        <v>12</v>
      </c>
      <c r="C184" s="230"/>
      <c r="D184" s="219"/>
      <c r="E184" s="723"/>
      <c r="F184" s="716"/>
      <c r="G184" s="1638"/>
      <c r="H184" s="1641"/>
      <c r="I184" s="723"/>
      <c r="J184" s="716"/>
      <c r="K184" s="1638"/>
      <c r="L184" s="1641"/>
      <c r="M184" s="723"/>
      <c r="N184" s="716"/>
      <c r="O184" s="1638"/>
      <c r="P184" s="1641"/>
      <c r="Q184" s="266"/>
      <c r="R184" s="266"/>
      <c r="S184" s="266"/>
      <c r="T184" s="149"/>
      <c r="Z184" s="137">
        <f t="shared" si="14"/>
        <v>0</v>
      </c>
    </row>
    <row r="185" spans="1:26" s="122" customFormat="1" ht="27.75" hidden="1" customHeight="1">
      <c r="A185" s="218">
        <v>244</v>
      </c>
      <c r="B185" s="216">
        <v>13</v>
      </c>
      <c r="C185" s="230"/>
      <c r="D185" s="219"/>
      <c r="E185" s="723"/>
      <c r="F185" s="716"/>
      <c r="G185" s="1638"/>
      <c r="H185" s="1641"/>
      <c r="I185" s="723"/>
      <c r="J185" s="716"/>
      <c r="K185" s="1638"/>
      <c r="L185" s="1641"/>
      <c r="M185" s="723"/>
      <c r="N185" s="716"/>
      <c r="O185" s="1638"/>
      <c r="P185" s="1641"/>
      <c r="Q185" s="266"/>
      <c r="R185" s="266"/>
      <c r="S185" s="266"/>
      <c r="T185" s="149"/>
      <c r="Z185" s="137">
        <f t="shared" ref="Z185:Z191" si="21">SUM(AA185:AW185)</f>
        <v>0</v>
      </c>
    </row>
    <row r="186" spans="1:26" s="122" customFormat="1" ht="27.75" hidden="1" customHeight="1">
      <c r="A186" s="218">
        <v>244</v>
      </c>
      <c r="B186" s="216">
        <v>14</v>
      </c>
      <c r="C186" s="230"/>
      <c r="D186" s="219"/>
      <c r="E186" s="723"/>
      <c r="F186" s="716"/>
      <c r="G186" s="1638"/>
      <c r="H186" s="1641"/>
      <c r="I186" s="723"/>
      <c r="J186" s="716"/>
      <c r="K186" s="1638"/>
      <c r="L186" s="1641"/>
      <c r="M186" s="723"/>
      <c r="N186" s="716"/>
      <c r="O186" s="1638"/>
      <c r="P186" s="1641"/>
      <c r="Q186" s="266"/>
      <c r="R186" s="266"/>
      <c r="S186" s="266"/>
      <c r="T186" s="149"/>
      <c r="Z186" s="137">
        <f t="shared" si="21"/>
        <v>0</v>
      </c>
    </row>
    <row r="187" spans="1:26" s="122" customFormat="1" ht="27.75" hidden="1" customHeight="1">
      <c r="A187" s="218">
        <v>244</v>
      </c>
      <c r="B187" s="216">
        <v>15</v>
      </c>
      <c r="C187" s="230"/>
      <c r="D187" s="219"/>
      <c r="E187" s="723"/>
      <c r="F187" s="716"/>
      <c r="G187" s="1638"/>
      <c r="H187" s="1641"/>
      <c r="I187" s="723"/>
      <c r="J187" s="716"/>
      <c r="K187" s="1638"/>
      <c r="L187" s="1641"/>
      <c r="M187" s="723"/>
      <c r="N187" s="716"/>
      <c r="O187" s="1638"/>
      <c r="P187" s="1641"/>
      <c r="Q187" s="266"/>
      <c r="R187" s="266"/>
      <c r="S187" s="266"/>
      <c r="T187" s="149"/>
      <c r="Z187" s="137">
        <f t="shared" si="21"/>
        <v>0</v>
      </c>
    </row>
    <row r="188" spans="1:26" s="122" customFormat="1" ht="27.75" hidden="1" customHeight="1">
      <c r="A188" s="218">
        <v>244</v>
      </c>
      <c r="B188" s="216">
        <v>16</v>
      </c>
      <c r="C188" s="230"/>
      <c r="D188" s="219"/>
      <c r="E188" s="723"/>
      <c r="F188" s="716"/>
      <c r="G188" s="1638"/>
      <c r="H188" s="1641"/>
      <c r="I188" s="723"/>
      <c r="J188" s="716"/>
      <c r="K188" s="1638"/>
      <c r="L188" s="1641"/>
      <c r="M188" s="723"/>
      <c r="N188" s="716"/>
      <c r="O188" s="1638"/>
      <c r="P188" s="1641"/>
      <c r="Q188" s="266"/>
      <c r="R188" s="266"/>
      <c r="S188" s="266"/>
      <c r="T188" s="149"/>
      <c r="Z188" s="137">
        <f t="shared" si="21"/>
        <v>0</v>
      </c>
    </row>
    <row r="189" spans="1:26" s="122" customFormat="1" ht="27.75" hidden="1" customHeight="1">
      <c r="A189" s="218">
        <v>244</v>
      </c>
      <c r="B189" s="216">
        <v>17</v>
      </c>
      <c r="C189" s="230"/>
      <c r="D189" s="219"/>
      <c r="E189" s="723"/>
      <c r="F189" s="716"/>
      <c r="G189" s="1638"/>
      <c r="H189" s="1641"/>
      <c r="I189" s="723"/>
      <c r="J189" s="716"/>
      <c r="K189" s="1638"/>
      <c r="L189" s="1641"/>
      <c r="M189" s="723"/>
      <c r="N189" s="716"/>
      <c r="O189" s="1638"/>
      <c r="P189" s="1641"/>
      <c r="Q189" s="266"/>
      <c r="R189" s="266"/>
      <c r="S189" s="266"/>
      <c r="T189" s="149"/>
      <c r="Z189" s="137">
        <f t="shared" si="21"/>
        <v>0</v>
      </c>
    </row>
    <row r="190" spans="1:26" s="122" customFormat="1" ht="27.75" hidden="1" customHeight="1">
      <c r="A190" s="218">
        <v>244</v>
      </c>
      <c r="B190" s="252">
        <v>18</v>
      </c>
      <c r="C190" s="269"/>
      <c r="D190" s="234"/>
      <c r="E190" s="723"/>
      <c r="F190" s="716"/>
      <c r="G190" s="1638"/>
      <c r="H190" s="1641"/>
      <c r="I190" s="723"/>
      <c r="J190" s="716"/>
      <c r="K190" s="1638"/>
      <c r="L190" s="1641"/>
      <c r="M190" s="723"/>
      <c r="N190" s="716"/>
      <c r="O190" s="1638"/>
      <c r="P190" s="1641"/>
      <c r="Q190" s="266"/>
      <c r="R190" s="266"/>
      <c r="S190" s="266"/>
      <c r="T190" s="149"/>
      <c r="Z190" s="137">
        <f t="shared" si="21"/>
        <v>0</v>
      </c>
    </row>
    <row r="191" spans="1:26" s="267" customFormat="1" ht="27.75" customHeight="1">
      <c r="A191" s="258"/>
      <c r="B191" s="259"/>
      <c r="C191" s="235" t="s">
        <v>554</v>
      </c>
      <c r="D191" s="262" t="s">
        <v>412</v>
      </c>
      <c r="E191" s="736" t="s">
        <v>412</v>
      </c>
      <c r="F191" s="734" t="s">
        <v>412</v>
      </c>
      <c r="G191" s="1667">
        <f>SUM(G173:H190)</f>
        <v>171856.54</v>
      </c>
      <c r="H191" s="1800">
        <f>SUMIFS(Титульный!$O$69:$O$292,Титульный!$K$69:$K$292,'КФО 2'!$Q191,Титульный!$L$69:$L$292,'КФО 2'!$R191,Титульный!$N$69:$N$292,'КФО 2'!$S191)</f>
        <v>0</v>
      </c>
      <c r="I191" s="736" t="s">
        <v>412</v>
      </c>
      <c r="J191" s="734" t="s">
        <v>412</v>
      </c>
      <c r="K191" s="1667">
        <f>SUM(K173:L190)</f>
        <v>0</v>
      </c>
      <c r="L191" s="1800">
        <f>SUMIFS(Титульный!$O$69:$O$292,Титульный!$K$69:$K$292,'КФО 2'!$Q191,Титульный!$L$69:$L$292,'КФО 2'!$R191,Титульный!$N$69:$N$292,'КФО 2'!$S191)</f>
        <v>0</v>
      </c>
      <c r="M191" s="736" t="s">
        <v>412</v>
      </c>
      <c r="N191" s="734" t="s">
        <v>412</v>
      </c>
      <c r="O191" s="1667">
        <f>SUM(O173:P190)</f>
        <v>0</v>
      </c>
      <c r="P191" s="1800">
        <f>SUMIFS(Титульный!$O$69:$O$292,Титульный!$K$69:$K$292,'КФО 2'!$Q191,Титульный!$L$69:$L$292,'КФО 2'!$R191,Титульный!$N$69:$N$292,'КФО 2'!$S191)</f>
        <v>0</v>
      </c>
      <c r="Q191" s="266"/>
      <c r="R191" s="266"/>
      <c r="S191" s="266"/>
      <c r="T191" s="266"/>
      <c r="Z191" s="137">
        <f t="shared" si="21"/>
        <v>0</v>
      </c>
    </row>
    <row r="192" spans="1:26" s="119" customFormat="1">
      <c r="B192" s="256"/>
      <c r="P192" s="143"/>
      <c r="Q192" s="272"/>
      <c r="R192" s="272"/>
      <c r="S192" s="272"/>
      <c r="T192" s="146"/>
    </row>
  </sheetData>
  <mergeCells count="540">
    <mergeCell ref="A126:P126"/>
    <mergeCell ref="A138:P138"/>
    <mergeCell ref="A150:P150"/>
    <mergeCell ref="A168:P168"/>
    <mergeCell ref="E140:H140"/>
    <mergeCell ref="M5:P5"/>
    <mergeCell ref="A19:A20"/>
    <mergeCell ref="B19:B20"/>
    <mergeCell ref="M19:P19"/>
    <mergeCell ref="O20:P20"/>
    <mergeCell ref="E19:H19"/>
    <mergeCell ref="G20:H20"/>
    <mergeCell ref="G33:H33"/>
    <mergeCell ref="A54:A55"/>
    <mergeCell ref="B54:B55"/>
    <mergeCell ref="A103:A104"/>
    <mergeCell ref="B103:B104"/>
    <mergeCell ref="C61:D61"/>
    <mergeCell ref="C62:D62"/>
    <mergeCell ref="C63:D63"/>
    <mergeCell ref="C64:D64"/>
    <mergeCell ref="A42:A43"/>
    <mergeCell ref="B42:B43"/>
    <mergeCell ref="A52:P52"/>
    <mergeCell ref="A1:P1"/>
    <mergeCell ref="A2:P2"/>
    <mergeCell ref="A3:P3"/>
    <mergeCell ref="A17:P17"/>
    <mergeCell ref="A29:A30"/>
    <mergeCell ref="B29:B30"/>
    <mergeCell ref="C29:C30"/>
    <mergeCell ref="D29:D30"/>
    <mergeCell ref="G30:H30"/>
    <mergeCell ref="K30:L30"/>
    <mergeCell ref="A5:A6"/>
    <mergeCell ref="B5:B6"/>
    <mergeCell ref="E5:H5"/>
    <mergeCell ref="I5:L5"/>
    <mergeCell ref="A27:P27"/>
    <mergeCell ref="C23:D23"/>
    <mergeCell ref="C19:D20"/>
    <mergeCell ref="C5:D6"/>
    <mergeCell ref="C7:D7"/>
    <mergeCell ref="C9:D9"/>
    <mergeCell ref="C10:D10"/>
    <mergeCell ref="C11:D11"/>
    <mergeCell ref="C12:D12"/>
    <mergeCell ref="C8:D8"/>
    <mergeCell ref="C106:D106"/>
    <mergeCell ref="C107:D107"/>
    <mergeCell ref="C108:D108"/>
    <mergeCell ref="C109:D109"/>
    <mergeCell ref="G122:H122"/>
    <mergeCell ref="K122:L122"/>
    <mergeCell ref="O122:P122"/>
    <mergeCell ref="K106:L106"/>
    <mergeCell ref="O106:P106"/>
    <mergeCell ref="G106:H106"/>
    <mergeCell ref="G107:H107"/>
    <mergeCell ref="K107:L107"/>
    <mergeCell ref="O107:P107"/>
    <mergeCell ref="G108:H108"/>
    <mergeCell ref="K108:L108"/>
    <mergeCell ref="O108:P108"/>
    <mergeCell ref="C121:D121"/>
    <mergeCell ref="C122:D122"/>
    <mergeCell ref="C113:D113"/>
    <mergeCell ref="C114:D114"/>
    <mergeCell ref="C115:D115"/>
    <mergeCell ref="C116:D116"/>
    <mergeCell ref="C117:D117"/>
    <mergeCell ref="C119:D119"/>
    <mergeCell ref="A128:A129"/>
    <mergeCell ref="B128:B129"/>
    <mergeCell ref="A140:A141"/>
    <mergeCell ref="B140:B141"/>
    <mergeCell ref="E129:H129"/>
    <mergeCell ref="I129:L129"/>
    <mergeCell ref="M129:P129"/>
    <mergeCell ref="E130:H130"/>
    <mergeCell ref="E131:H131"/>
    <mergeCell ref="E132:H132"/>
    <mergeCell ref="E133:H133"/>
    <mergeCell ref="C128:D129"/>
    <mergeCell ref="C130:D130"/>
    <mergeCell ref="C131:D131"/>
    <mergeCell ref="C132:D132"/>
    <mergeCell ref="C133:D133"/>
    <mergeCell ref="C134:D134"/>
    <mergeCell ref="E128:P128"/>
    <mergeCell ref="I134:L134"/>
    <mergeCell ref="M134:P134"/>
    <mergeCell ref="E134:H134"/>
    <mergeCell ref="I130:L130"/>
    <mergeCell ref="I131:L131"/>
    <mergeCell ref="I132:L132"/>
    <mergeCell ref="A152:A153"/>
    <mergeCell ref="B152:B153"/>
    <mergeCell ref="C140:D141"/>
    <mergeCell ref="C142:D142"/>
    <mergeCell ref="C143:D143"/>
    <mergeCell ref="C144:D144"/>
    <mergeCell ref="C145:D145"/>
    <mergeCell ref="C146:D146"/>
    <mergeCell ref="A170:A171"/>
    <mergeCell ref="B170:B171"/>
    <mergeCell ref="C170:C171"/>
    <mergeCell ref="D170:D171"/>
    <mergeCell ref="C156:D156"/>
    <mergeCell ref="C157:D157"/>
    <mergeCell ref="C163:D163"/>
    <mergeCell ref="C164:D164"/>
    <mergeCell ref="C162:D162"/>
    <mergeCell ref="C152:D153"/>
    <mergeCell ref="C154:D154"/>
    <mergeCell ref="C158:D158"/>
    <mergeCell ref="C159:D159"/>
    <mergeCell ref="C160:D160"/>
    <mergeCell ref="C161:D161"/>
    <mergeCell ref="C155:D155"/>
    <mergeCell ref="E29:H29"/>
    <mergeCell ref="I29:L29"/>
    <mergeCell ref="M29:P29"/>
    <mergeCell ref="K23:L23"/>
    <mergeCell ref="K33:L33"/>
    <mergeCell ref="G43:H43"/>
    <mergeCell ref="K43:L43"/>
    <mergeCell ref="O43:P43"/>
    <mergeCell ref="G36:H36"/>
    <mergeCell ref="K36:L36"/>
    <mergeCell ref="O36:P36"/>
    <mergeCell ref="G35:H35"/>
    <mergeCell ref="K35:L35"/>
    <mergeCell ref="O35:P35"/>
    <mergeCell ref="A40:P40"/>
    <mergeCell ref="C13:D13"/>
    <mergeCell ref="C21:D21"/>
    <mergeCell ref="C22:D22"/>
    <mergeCell ref="I19:L19"/>
    <mergeCell ref="K20:L20"/>
    <mergeCell ref="K21:L21"/>
    <mergeCell ref="O33:P33"/>
    <mergeCell ref="G34:H34"/>
    <mergeCell ref="K34:L34"/>
    <mergeCell ref="O34:P34"/>
    <mergeCell ref="O30:P30"/>
    <mergeCell ref="G31:H31"/>
    <mergeCell ref="K31:L31"/>
    <mergeCell ref="O31:P31"/>
    <mergeCell ref="G32:H32"/>
    <mergeCell ref="K32:L32"/>
    <mergeCell ref="O32:P32"/>
    <mergeCell ref="K22:L22"/>
    <mergeCell ref="G21:H21"/>
    <mergeCell ref="G22:H22"/>
    <mergeCell ref="G23:H23"/>
    <mergeCell ref="O21:P21"/>
    <mergeCell ref="O22:P22"/>
    <mergeCell ref="O23:P23"/>
    <mergeCell ref="G48:H48"/>
    <mergeCell ref="K48:L48"/>
    <mergeCell ref="O48:P48"/>
    <mergeCell ref="C42:D43"/>
    <mergeCell ref="C44:D44"/>
    <mergeCell ref="C45:D45"/>
    <mergeCell ref="C46:D46"/>
    <mergeCell ref="C47:D47"/>
    <mergeCell ref="C48:D48"/>
    <mergeCell ref="G46:H46"/>
    <mergeCell ref="K46:L46"/>
    <mergeCell ref="O46:P46"/>
    <mergeCell ref="G47:H47"/>
    <mergeCell ref="K47:L47"/>
    <mergeCell ref="O47:P47"/>
    <mergeCell ref="G44:H44"/>
    <mergeCell ref="K44:L44"/>
    <mergeCell ref="O44:P44"/>
    <mergeCell ref="G45:H45"/>
    <mergeCell ref="K45:L45"/>
    <mergeCell ref="O45:P45"/>
    <mergeCell ref="E42:H42"/>
    <mergeCell ref="I42:L42"/>
    <mergeCell ref="M42:P42"/>
    <mergeCell ref="C65:D65"/>
    <mergeCell ref="C66:D66"/>
    <mergeCell ref="E54:H54"/>
    <mergeCell ref="I54:L54"/>
    <mergeCell ref="M54:P54"/>
    <mergeCell ref="G55:H55"/>
    <mergeCell ref="K55:L55"/>
    <mergeCell ref="O55:P55"/>
    <mergeCell ref="G58:H58"/>
    <mergeCell ref="K58:L58"/>
    <mergeCell ref="O58:P58"/>
    <mergeCell ref="G59:H59"/>
    <mergeCell ref="K59:L59"/>
    <mergeCell ref="O59:P59"/>
    <mergeCell ref="G56:H56"/>
    <mergeCell ref="K56:L56"/>
    <mergeCell ref="O56:P56"/>
    <mergeCell ref="C60:D60"/>
    <mergeCell ref="G57:H57"/>
    <mergeCell ref="K57:L57"/>
    <mergeCell ref="O57:P57"/>
    <mergeCell ref="G62:H62"/>
    <mergeCell ref="K62:L62"/>
    <mergeCell ref="O62:P62"/>
    <mergeCell ref="C83:D83"/>
    <mergeCell ref="C84:D84"/>
    <mergeCell ref="C75:D75"/>
    <mergeCell ref="C76:D76"/>
    <mergeCell ref="C77:D77"/>
    <mergeCell ref="C78:D78"/>
    <mergeCell ref="C79:D79"/>
    <mergeCell ref="C70:D70"/>
    <mergeCell ref="C71:D71"/>
    <mergeCell ref="C72:D72"/>
    <mergeCell ref="C73:D73"/>
    <mergeCell ref="C74:D74"/>
    <mergeCell ref="C95:D95"/>
    <mergeCell ref="C96:D96"/>
    <mergeCell ref="C97:D97"/>
    <mergeCell ref="C54:D55"/>
    <mergeCell ref="C56:D56"/>
    <mergeCell ref="C90:D90"/>
    <mergeCell ref="C91:D91"/>
    <mergeCell ref="C92:D92"/>
    <mergeCell ref="C93:D93"/>
    <mergeCell ref="C94:D94"/>
    <mergeCell ref="C85:D85"/>
    <mergeCell ref="C86:D86"/>
    <mergeCell ref="C87:D87"/>
    <mergeCell ref="C88:D88"/>
    <mergeCell ref="C89:D89"/>
    <mergeCell ref="C80:D80"/>
    <mergeCell ref="C81:D81"/>
    <mergeCell ref="C82:D82"/>
    <mergeCell ref="C67:D67"/>
    <mergeCell ref="C68:D68"/>
    <mergeCell ref="C69:D69"/>
    <mergeCell ref="C57:D57"/>
    <mergeCell ref="C58:D58"/>
    <mergeCell ref="C59:D59"/>
    <mergeCell ref="G63:H63"/>
    <mergeCell ref="K63:L63"/>
    <mergeCell ref="O63:P63"/>
    <mergeCell ref="G60:H60"/>
    <mergeCell ref="K60:L60"/>
    <mergeCell ref="O60:P60"/>
    <mergeCell ref="G61:H61"/>
    <mergeCell ref="K61:L61"/>
    <mergeCell ref="O61:P61"/>
    <mergeCell ref="G66:H66"/>
    <mergeCell ref="K66:L66"/>
    <mergeCell ref="O66:P66"/>
    <mergeCell ref="G67:H67"/>
    <mergeCell ref="K67:L67"/>
    <mergeCell ref="O67:P67"/>
    <mergeCell ref="G64:H64"/>
    <mergeCell ref="K64:L64"/>
    <mergeCell ref="O64:P64"/>
    <mergeCell ref="G65:H65"/>
    <mergeCell ref="K65:L65"/>
    <mergeCell ref="O65:P65"/>
    <mergeCell ref="G70:H70"/>
    <mergeCell ref="K70:L70"/>
    <mergeCell ref="O70:P70"/>
    <mergeCell ref="G71:H71"/>
    <mergeCell ref="K71:L71"/>
    <mergeCell ref="O71:P71"/>
    <mergeCell ref="G68:H68"/>
    <mergeCell ref="K68:L68"/>
    <mergeCell ref="O68:P68"/>
    <mergeCell ref="G69:H69"/>
    <mergeCell ref="K69:L69"/>
    <mergeCell ref="O69:P69"/>
    <mergeCell ref="G74:H74"/>
    <mergeCell ref="K74:L74"/>
    <mergeCell ref="O74:P74"/>
    <mergeCell ref="G75:H75"/>
    <mergeCell ref="K75:L75"/>
    <mergeCell ref="O75:P75"/>
    <mergeCell ref="G72:H72"/>
    <mergeCell ref="K72:L72"/>
    <mergeCell ref="O72:P72"/>
    <mergeCell ref="G73:H73"/>
    <mergeCell ref="K73:L73"/>
    <mergeCell ref="O73:P73"/>
    <mergeCell ref="G78:H78"/>
    <mergeCell ref="K78:L78"/>
    <mergeCell ref="O78:P78"/>
    <mergeCell ref="G79:H79"/>
    <mergeCell ref="K79:L79"/>
    <mergeCell ref="O79:P79"/>
    <mergeCell ref="G76:H76"/>
    <mergeCell ref="K76:L76"/>
    <mergeCell ref="O76:P76"/>
    <mergeCell ref="G77:H77"/>
    <mergeCell ref="K77:L77"/>
    <mergeCell ref="O77:P77"/>
    <mergeCell ref="G82:H82"/>
    <mergeCell ref="K82:L82"/>
    <mergeCell ref="O82:P82"/>
    <mergeCell ref="G83:H83"/>
    <mergeCell ref="K83:L83"/>
    <mergeCell ref="O83:P83"/>
    <mergeCell ref="G80:H80"/>
    <mergeCell ref="K80:L80"/>
    <mergeCell ref="O80:P80"/>
    <mergeCell ref="G81:H81"/>
    <mergeCell ref="K81:L81"/>
    <mergeCell ref="O81:P81"/>
    <mergeCell ref="G86:H86"/>
    <mergeCell ref="K86:L86"/>
    <mergeCell ref="O86:P86"/>
    <mergeCell ref="G87:H87"/>
    <mergeCell ref="K87:L87"/>
    <mergeCell ref="O87:P87"/>
    <mergeCell ref="G84:H84"/>
    <mergeCell ref="K84:L84"/>
    <mergeCell ref="O84:P84"/>
    <mergeCell ref="G85:H85"/>
    <mergeCell ref="K85:L85"/>
    <mergeCell ref="O85:P85"/>
    <mergeCell ref="G90:H90"/>
    <mergeCell ref="K90:L90"/>
    <mergeCell ref="O90:P90"/>
    <mergeCell ref="G91:H91"/>
    <mergeCell ref="K91:L91"/>
    <mergeCell ref="O91:P91"/>
    <mergeCell ref="G88:H88"/>
    <mergeCell ref="K88:L88"/>
    <mergeCell ref="O88:P88"/>
    <mergeCell ref="G89:H89"/>
    <mergeCell ref="K89:L89"/>
    <mergeCell ref="O89:P89"/>
    <mergeCell ref="G94:H94"/>
    <mergeCell ref="K94:L94"/>
    <mergeCell ref="O94:P94"/>
    <mergeCell ref="G95:H95"/>
    <mergeCell ref="K95:L95"/>
    <mergeCell ref="O95:P95"/>
    <mergeCell ref="G92:H92"/>
    <mergeCell ref="K92:L92"/>
    <mergeCell ref="O92:P92"/>
    <mergeCell ref="G93:H93"/>
    <mergeCell ref="K93:L93"/>
    <mergeCell ref="O93:P93"/>
    <mergeCell ref="G96:H96"/>
    <mergeCell ref="K96:L96"/>
    <mergeCell ref="O96:P96"/>
    <mergeCell ref="C103:D104"/>
    <mergeCell ref="C105:D105"/>
    <mergeCell ref="E103:H103"/>
    <mergeCell ref="I103:L103"/>
    <mergeCell ref="M103:P103"/>
    <mergeCell ref="G104:H104"/>
    <mergeCell ref="K104:L104"/>
    <mergeCell ref="O104:P104"/>
    <mergeCell ref="G97:H97"/>
    <mergeCell ref="K97:L97"/>
    <mergeCell ref="O97:P97"/>
    <mergeCell ref="G105:H105"/>
    <mergeCell ref="K105:L105"/>
    <mergeCell ref="O105:P105"/>
    <mergeCell ref="A101:P101"/>
    <mergeCell ref="C110:D110"/>
    <mergeCell ref="C118:D118"/>
    <mergeCell ref="C111:D111"/>
    <mergeCell ref="C112:D112"/>
    <mergeCell ref="G110:H110"/>
    <mergeCell ref="K110:L110"/>
    <mergeCell ref="O110:P110"/>
    <mergeCell ref="G118:H118"/>
    <mergeCell ref="K118:L118"/>
    <mergeCell ref="O118:P118"/>
    <mergeCell ref="G109:H109"/>
    <mergeCell ref="K109:L109"/>
    <mergeCell ref="O109:P109"/>
    <mergeCell ref="G119:H119"/>
    <mergeCell ref="K119:L119"/>
    <mergeCell ref="O119:P119"/>
    <mergeCell ref="G113:H113"/>
    <mergeCell ref="K113:L113"/>
    <mergeCell ref="O113:P113"/>
    <mergeCell ref="G114:H114"/>
    <mergeCell ref="K114:L114"/>
    <mergeCell ref="O114:P114"/>
    <mergeCell ref="G111:H111"/>
    <mergeCell ref="K111:L111"/>
    <mergeCell ref="O111:P111"/>
    <mergeCell ref="G112:H112"/>
    <mergeCell ref="K112:L112"/>
    <mergeCell ref="O112:P112"/>
    <mergeCell ref="G117:H117"/>
    <mergeCell ref="K117:L117"/>
    <mergeCell ref="O117:P117"/>
    <mergeCell ref="G121:H121"/>
    <mergeCell ref="K121:L121"/>
    <mergeCell ref="O121:P121"/>
    <mergeCell ref="G115:H115"/>
    <mergeCell ref="K115:L115"/>
    <mergeCell ref="O115:P115"/>
    <mergeCell ref="G116:H116"/>
    <mergeCell ref="K116:L116"/>
    <mergeCell ref="O116:P116"/>
    <mergeCell ref="I133:L133"/>
    <mergeCell ref="M140:P140"/>
    <mergeCell ref="G141:H141"/>
    <mergeCell ref="K141:L141"/>
    <mergeCell ref="O141:P141"/>
    <mergeCell ref="G142:H142"/>
    <mergeCell ref="K142:L142"/>
    <mergeCell ref="O142:P142"/>
    <mergeCell ref="M130:P130"/>
    <mergeCell ref="M131:P131"/>
    <mergeCell ref="M132:P132"/>
    <mergeCell ref="M133:P133"/>
    <mergeCell ref="I140:L140"/>
    <mergeCell ref="G145:H145"/>
    <mergeCell ref="K145:L145"/>
    <mergeCell ref="O145:P145"/>
    <mergeCell ref="G146:H146"/>
    <mergeCell ref="K146:L146"/>
    <mergeCell ref="O146:P146"/>
    <mergeCell ref="G143:H143"/>
    <mergeCell ref="K143:L143"/>
    <mergeCell ref="O143:P143"/>
    <mergeCell ref="G144:H144"/>
    <mergeCell ref="K144:L144"/>
    <mergeCell ref="O144:P144"/>
    <mergeCell ref="E152:H152"/>
    <mergeCell ref="I152:L152"/>
    <mergeCell ref="M152:P152"/>
    <mergeCell ref="G153:H153"/>
    <mergeCell ref="K153:L153"/>
    <mergeCell ref="O153:P153"/>
    <mergeCell ref="G154:H154"/>
    <mergeCell ref="K154:L154"/>
    <mergeCell ref="O154:P154"/>
    <mergeCell ref="G161:H161"/>
    <mergeCell ref="K161:L161"/>
    <mergeCell ref="O161:P161"/>
    <mergeCell ref="G162:H162"/>
    <mergeCell ref="K162:L162"/>
    <mergeCell ref="O162:P162"/>
    <mergeCell ref="G155:H155"/>
    <mergeCell ref="K155:L155"/>
    <mergeCell ref="O155:P155"/>
    <mergeCell ref="G156:H156"/>
    <mergeCell ref="K156:L156"/>
    <mergeCell ref="G159:H159"/>
    <mergeCell ref="K159:L159"/>
    <mergeCell ref="O159:P159"/>
    <mergeCell ref="G160:H160"/>
    <mergeCell ref="K160:L160"/>
    <mergeCell ref="O160:P160"/>
    <mergeCell ref="O156:P156"/>
    <mergeCell ref="G157:H157"/>
    <mergeCell ref="K157:L157"/>
    <mergeCell ref="O157:P157"/>
    <mergeCell ref="G158:H158"/>
    <mergeCell ref="K158:L158"/>
    <mergeCell ref="O158:P158"/>
    <mergeCell ref="G172:H172"/>
    <mergeCell ref="K172:L172"/>
    <mergeCell ref="O172:P172"/>
    <mergeCell ref="G173:H173"/>
    <mergeCell ref="K173:L173"/>
    <mergeCell ref="O173:P173"/>
    <mergeCell ref="G163:H163"/>
    <mergeCell ref="K163:L163"/>
    <mergeCell ref="O163:P163"/>
    <mergeCell ref="G164:H164"/>
    <mergeCell ref="K164:L164"/>
    <mergeCell ref="O164:P164"/>
    <mergeCell ref="E170:H170"/>
    <mergeCell ref="I170:L170"/>
    <mergeCell ref="M170:P170"/>
    <mergeCell ref="G171:H171"/>
    <mergeCell ref="K171:L171"/>
    <mergeCell ref="O171:P171"/>
    <mergeCell ref="G176:H176"/>
    <mergeCell ref="K176:L176"/>
    <mergeCell ref="O176:P176"/>
    <mergeCell ref="G177:H177"/>
    <mergeCell ref="K177:L177"/>
    <mergeCell ref="O177:P177"/>
    <mergeCell ref="G174:H174"/>
    <mergeCell ref="K174:L174"/>
    <mergeCell ref="O174:P174"/>
    <mergeCell ref="G175:H175"/>
    <mergeCell ref="K175:L175"/>
    <mergeCell ref="O175:P175"/>
    <mergeCell ref="G180:H180"/>
    <mergeCell ref="K180:L180"/>
    <mergeCell ref="O180:P180"/>
    <mergeCell ref="G181:H181"/>
    <mergeCell ref="K181:L181"/>
    <mergeCell ref="O181:P181"/>
    <mergeCell ref="G178:H178"/>
    <mergeCell ref="K178:L178"/>
    <mergeCell ref="O178:P178"/>
    <mergeCell ref="G179:H179"/>
    <mergeCell ref="K179:L179"/>
    <mergeCell ref="O179:P179"/>
    <mergeCell ref="O184:P184"/>
    <mergeCell ref="G185:H185"/>
    <mergeCell ref="K185:L185"/>
    <mergeCell ref="O185:P185"/>
    <mergeCell ref="G182:H182"/>
    <mergeCell ref="K182:L182"/>
    <mergeCell ref="O182:P182"/>
    <mergeCell ref="G183:H183"/>
    <mergeCell ref="K183:L183"/>
    <mergeCell ref="O183:P183"/>
    <mergeCell ref="C120:D120"/>
    <mergeCell ref="G120:H120"/>
    <mergeCell ref="K120:L120"/>
    <mergeCell ref="O120:P120"/>
    <mergeCell ref="G190:H190"/>
    <mergeCell ref="K190:L190"/>
    <mergeCell ref="O190:P190"/>
    <mergeCell ref="G191:H191"/>
    <mergeCell ref="K191:L191"/>
    <mergeCell ref="O191:P191"/>
    <mergeCell ref="G188:H188"/>
    <mergeCell ref="K188:L188"/>
    <mergeCell ref="O188:P188"/>
    <mergeCell ref="G189:H189"/>
    <mergeCell ref="K189:L189"/>
    <mergeCell ref="O189:P189"/>
    <mergeCell ref="G186:H186"/>
    <mergeCell ref="K186:L186"/>
    <mergeCell ref="O186:P186"/>
    <mergeCell ref="G187:H187"/>
    <mergeCell ref="K187:L187"/>
    <mergeCell ref="O187:P187"/>
    <mergeCell ref="G184:H184"/>
    <mergeCell ref="K184:L184"/>
  </mergeCells>
  <conditionalFormatting sqref="E8:P12 E22:P22 E45:P48 E57:P97 E106:P122 E131:P134 E143:P146 E173:P191 E155:P164 E32:P36">
    <cfRule type="cellIs" dxfId="37" priority="2" operator="lessThan">
      <formula>0</formula>
    </cfRule>
  </conditionalFormatting>
  <conditionalFormatting sqref="E8:E12">
    <cfRule type="expression" dxfId="36" priority="595">
      <formula>AND(H8&gt;0,E8="")</formula>
    </cfRule>
  </conditionalFormatting>
  <conditionalFormatting sqref="F8:F12">
    <cfRule type="expression" dxfId="35" priority="26">
      <formula>AND(H8&gt;0,F8="")</formula>
    </cfRule>
  </conditionalFormatting>
  <conditionalFormatting sqref="G8:G12">
    <cfRule type="expression" dxfId="34" priority="16">
      <formula>AND(H8&gt;0,G8="")</formula>
    </cfRule>
  </conditionalFormatting>
  <conditionalFormatting sqref="E22 E32:E35 E45:E47 E57:E96 E106:E121 E143:E145 E155:E163 E173:E180">
    <cfRule type="expression" dxfId="33" priority="15">
      <formula>AND(G22&gt;0,E22="")</formula>
    </cfRule>
  </conditionalFormatting>
  <conditionalFormatting sqref="F22 F32:F35 F45:F47 F57:F96 F106:F121 F143:F145 F173:F180 F155:F163">
    <cfRule type="expression" dxfId="32" priority="14">
      <formula>AND(G22&gt;0,F22="")</formula>
    </cfRule>
  </conditionalFormatting>
  <conditionalFormatting sqref="I22 I32:I35 I45:I47 I57:I96 I106:I121 I143:I145 I155:I163 I173:I180">
    <cfRule type="expression" dxfId="31" priority="12">
      <formula>AND(K22&gt;0,I22="")</formula>
    </cfRule>
  </conditionalFormatting>
  <conditionalFormatting sqref="J173:J180 J155:J163 J143:J145 J106:J121 J57:J96 J45:J47 J32:J35 J22">
    <cfRule type="expression" dxfId="30" priority="11">
      <formula>AND(K22&gt;0,J22="")</formula>
    </cfRule>
  </conditionalFormatting>
  <conditionalFormatting sqref="M22 M32:M35 M45:M47 M57:M96 M106:M121 M143:M145 M155:M163 M173:M180">
    <cfRule type="expression" dxfId="29" priority="10">
      <formula>AND(O22&gt;0,M22="")</formula>
    </cfRule>
  </conditionalFormatting>
  <conditionalFormatting sqref="N173:N180 N155:N163 N143:N145 N106:N121 N57:N96 N45:N47 N32:N35 N22">
    <cfRule type="expression" dxfId="28" priority="9">
      <formula>AND(O22&gt;0,N22="")</formula>
    </cfRule>
  </conditionalFormatting>
  <conditionalFormatting sqref="I8:I12">
    <cfRule type="expression" dxfId="27" priority="8">
      <formula>AND(L8&gt;0,I8="")</formula>
    </cfRule>
  </conditionalFormatting>
  <conditionalFormatting sqref="J8:J12">
    <cfRule type="expression" dxfId="26" priority="7">
      <formula>AND(L8&gt;0,J8="")</formula>
    </cfRule>
  </conditionalFormatting>
  <conditionalFormatting sqref="K8:K12">
    <cfRule type="expression" dxfId="25" priority="6">
      <formula>AND(L8&gt;0,K8="")</formula>
    </cfRule>
  </conditionalFormatting>
  <conditionalFormatting sqref="M8:M12">
    <cfRule type="expression" dxfId="24" priority="5">
      <formula>AND(P8&gt;0,M8="")</formula>
    </cfRule>
  </conditionalFormatting>
  <conditionalFormatting sqref="N8:N12">
    <cfRule type="expression" dxfId="23" priority="4">
      <formula>AND(P8&gt;0,N8="")</formula>
    </cfRule>
  </conditionalFormatting>
  <conditionalFormatting sqref="O8:O12">
    <cfRule type="expression" dxfId="22" priority="3">
      <formula>AND(P8&gt;0,O8="")</formula>
    </cfRule>
  </conditionalFormatting>
  <pageMargins left="0.19685039370078741" right="0.19685039370078741" top="0.74803149606299213" bottom="0.19685039370078741" header="0.31496062992125984" footer="0.31496062992125984"/>
  <pageSetup paperSize="9" scale="59" fitToHeight="5" orientation="landscape" r:id="rId1"/>
  <rowBreaks count="5" manualBreakCount="5">
    <brk id="39" max="15" man="1"/>
    <brk id="72" max="15" man="1"/>
    <brk id="100" max="15" man="1"/>
    <brk id="134" max="15" man="1"/>
    <brk id="175" max="15" man="1"/>
  </rowBreaks>
  <extLst>
    <ext xmlns:x14="http://schemas.microsoft.com/office/spreadsheetml/2009/9/main" uri="{78C0D931-6437-407d-A8EE-F0AAD7539E65}">
      <x14:conditionalFormattings>
        <x14:conditionalFormatting xmlns:xm="http://schemas.microsoft.com/office/excel/2006/main">
          <x14:cfRule type="expression" priority="1" stopIfTrue="1" id="{B72D6BC0-9791-4FAB-A6CE-C30302472562}">
            <xm:f>Титульный!$Z$1="скрыть"</xm:f>
            <x14:dxf>
              <fill>
                <patternFill patternType="none">
                  <bgColor auto="1"/>
                </patternFill>
              </fill>
            </x14:dxf>
          </x14:cfRule>
          <xm:sqref>A1:P1048576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Лист11">
    <tabColor theme="8" tint="0.59999389629810485"/>
  </sheetPr>
  <dimension ref="A1:AD187"/>
  <sheetViews>
    <sheetView view="pageBreakPreview" zoomScale="85" zoomScaleNormal="60" zoomScaleSheetLayoutView="85" workbookViewId="0">
      <selection activeCell="G70" sqref="G70:H70"/>
    </sheetView>
  </sheetViews>
  <sheetFormatPr defaultRowHeight="15.75"/>
  <cols>
    <col min="1" max="1" width="11.28515625" customWidth="1"/>
    <col min="2" max="2" width="4.85546875" style="257" customWidth="1"/>
    <col min="3" max="3" width="41.140625" customWidth="1"/>
    <col min="4" max="4" width="12.42578125" customWidth="1"/>
    <col min="5" max="16" width="12.7109375" customWidth="1"/>
    <col min="17" max="18" width="17" style="896" customWidth="1"/>
    <col min="19" max="19" width="28.28515625" style="896" customWidth="1"/>
    <col min="20" max="20" width="9.140625" style="896"/>
    <col min="21" max="21" width="9.85546875" style="897" bestFit="1" customWidth="1"/>
    <col min="22" max="22" width="28.140625" customWidth="1"/>
    <col min="23" max="23" width="17.42578125" customWidth="1"/>
    <col min="24" max="24" width="14.7109375" bestFit="1" customWidth="1"/>
  </cols>
  <sheetData>
    <row r="1" spans="1:30" s="215" customFormat="1" ht="27.75" customHeight="1">
      <c r="A1" s="1927" t="s">
        <v>689</v>
      </c>
      <c r="B1" s="1927"/>
      <c r="C1" s="1927"/>
      <c r="D1" s="1927"/>
      <c r="E1" s="1927"/>
      <c r="F1" s="1927"/>
      <c r="G1" s="1927"/>
      <c r="H1" s="1927"/>
      <c r="I1" s="1927"/>
      <c r="J1" s="1927"/>
      <c r="K1" s="1927"/>
      <c r="L1" s="1927"/>
      <c r="M1" s="1927"/>
      <c r="N1" s="1927"/>
      <c r="O1" s="1927"/>
      <c r="P1" s="1927"/>
      <c r="Q1" s="898"/>
      <c r="R1" s="898"/>
      <c r="S1" s="898"/>
      <c r="T1" s="898"/>
      <c r="U1" s="899"/>
    </row>
    <row r="2" spans="1:30" s="215" customFormat="1" ht="27.75" customHeight="1">
      <c r="A2" s="1776" t="s">
        <v>556</v>
      </c>
      <c r="B2" s="1776"/>
      <c r="C2" s="1776"/>
      <c r="D2" s="1776"/>
      <c r="E2" s="1776"/>
      <c r="F2" s="1776"/>
      <c r="G2" s="1776"/>
      <c r="H2" s="1776"/>
      <c r="I2" s="1776"/>
      <c r="J2" s="1776"/>
      <c r="K2" s="1776"/>
      <c r="L2" s="1776"/>
      <c r="M2" s="1776"/>
      <c r="N2" s="1776"/>
      <c r="O2" s="1776"/>
      <c r="P2" s="1776"/>
      <c r="Q2" s="898"/>
      <c r="R2" s="898"/>
      <c r="S2" s="898"/>
      <c r="T2" s="898"/>
      <c r="U2" s="899"/>
    </row>
    <row r="3" spans="1:30" s="215" customFormat="1" ht="27.75" customHeight="1">
      <c r="A3" s="1643" t="s">
        <v>557</v>
      </c>
      <c r="B3" s="1643"/>
      <c r="C3" s="1643"/>
      <c r="D3" s="1643"/>
      <c r="E3" s="1643"/>
      <c r="F3" s="1643"/>
      <c r="G3" s="1643"/>
      <c r="H3" s="1643"/>
      <c r="I3" s="1643"/>
      <c r="J3" s="1643"/>
      <c r="K3" s="1643"/>
      <c r="L3" s="1643"/>
      <c r="M3" s="1643"/>
      <c r="N3" s="1643"/>
      <c r="O3" s="1643"/>
      <c r="P3" s="1643"/>
      <c r="Q3" s="898"/>
      <c r="R3" s="898"/>
      <c r="S3" s="898"/>
      <c r="T3" s="898"/>
      <c r="U3" s="899"/>
    </row>
    <row r="4" spans="1:30" s="144" customFormat="1" ht="12" customHeight="1">
      <c r="B4" s="256"/>
      <c r="Q4" s="898"/>
      <c r="R4" s="898"/>
      <c r="S4" s="898"/>
      <c r="T4" s="898"/>
      <c r="U4" s="900"/>
    </row>
    <row r="5" spans="1:30" s="144" customFormat="1" ht="33.75" customHeight="1">
      <c r="A5" s="1687" t="s">
        <v>541</v>
      </c>
      <c r="B5" s="1651" t="s">
        <v>430</v>
      </c>
      <c r="C5" s="1928" t="s">
        <v>553</v>
      </c>
      <c r="D5" s="1929"/>
      <c r="E5" s="1858" t="s">
        <v>1114</v>
      </c>
      <c r="F5" s="1859"/>
      <c r="G5" s="1859"/>
      <c r="H5" s="1887"/>
      <c r="I5" s="1856" t="s">
        <v>1115</v>
      </c>
      <c r="J5" s="1854"/>
      <c r="K5" s="1854"/>
      <c r="L5" s="1855"/>
      <c r="M5" s="1853" t="s">
        <v>1116</v>
      </c>
      <c r="N5" s="1854"/>
      <c r="O5" s="1854"/>
      <c r="P5" s="1855"/>
      <c r="Q5" s="898"/>
      <c r="R5" s="898"/>
      <c r="S5" s="898"/>
      <c r="T5" s="898"/>
      <c r="U5" s="900"/>
      <c r="AA5" s="137">
        <f t="shared" ref="AA5:AA36" si="0">SUM(AB5:BD5)</f>
        <v>0</v>
      </c>
      <c r="AB5" s="137">
        <f>SUM(H8:H12)-SUBTOTAL(109,H8:H12)</f>
        <v>0</v>
      </c>
      <c r="AC5" s="137">
        <f>SUM(L8:L12)-SUBTOTAL(109,L8:L12)</f>
        <v>0</v>
      </c>
      <c r="AD5" s="137">
        <f>SUM(P8:P12)-SUBTOTAL(109,P8:P12)</f>
        <v>0</v>
      </c>
    </row>
    <row r="6" spans="1:30" s="144" customFormat="1" ht="38.25">
      <c r="A6" s="1688"/>
      <c r="B6" s="1684"/>
      <c r="C6" s="1930"/>
      <c r="D6" s="1931"/>
      <c r="E6" s="172" t="s">
        <v>558</v>
      </c>
      <c r="F6" s="173" t="s">
        <v>555</v>
      </c>
      <c r="G6" s="173" t="s">
        <v>559</v>
      </c>
      <c r="H6" s="174" t="s">
        <v>496</v>
      </c>
      <c r="I6" s="175" t="s">
        <v>558</v>
      </c>
      <c r="J6" s="173" t="s">
        <v>555</v>
      </c>
      <c r="K6" s="173" t="s">
        <v>559</v>
      </c>
      <c r="L6" s="176" t="s">
        <v>496</v>
      </c>
      <c r="M6" s="172" t="s">
        <v>558</v>
      </c>
      <c r="N6" s="173" t="s">
        <v>555</v>
      </c>
      <c r="O6" s="173" t="s">
        <v>559</v>
      </c>
      <c r="P6" s="176" t="s">
        <v>496</v>
      </c>
      <c r="Q6" s="898"/>
      <c r="R6" s="898"/>
      <c r="S6" s="898"/>
      <c r="T6" s="898"/>
      <c r="U6" s="900"/>
      <c r="AA6" s="137">
        <f t="shared" si="0"/>
        <v>0</v>
      </c>
    </row>
    <row r="7" spans="1:30" s="144" customFormat="1">
      <c r="A7" s="187" t="s">
        <v>6</v>
      </c>
      <c r="B7" s="367" t="s">
        <v>7</v>
      </c>
      <c r="C7" s="1653" t="s">
        <v>8</v>
      </c>
      <c r="D7" s="1654"/>
      <c r="E7" s="186" t="s">
        <v>9</v>
      </c>
      <c r="F7" s="178" t="s">
        <v>10</v>
      </c>
      <c r="G7" s="178" t="s">
        <v>417</v>
      </c>
      <c r="H7" s="180" t="s">
        <v>560</v>
      </c>
      <c r="I7" s="187" t="s">
        <v>415</v>
      </c>
      <c r="J7" s="178" t="s">
        <v>414</v>
      </c>
      <c r="K7" s="178" t="s">
        <v>413</v>
      </c>
      <c r="L7" s="179" t="s">
        <v>561</v>
      </c>
      <c r="M7" s="186" t="s">
        <v>419</v>
      </c>
      <c r="N7" s="178" t="s">
        <v>517</v>
      </c>
      <c r="O7" s="178" t="s">
        <v>562</v>
      </c>
      <c r="P7" s="179" t="s">
        <v>563</v>
      </c>
      <c r="Q7" s="898"/>
      <c r="R7" s="898"/>
      <c r="S7" s="898"/>
      <c r="T7" s="898"/>
      <c r="U7" s="900"/>
      <c r="AA7" s="137">
        <f t="shared" si="0"/>
        <v>0</v>
      </c>
    </row>
    <row r="8" spans="1:30" s="122" customFormat="1" ht="27.75" customHeight="1">
      <c r="A8" s="236">
        <v>244</v>
      </c>
      <c r="B8" s="241"/>
      <c r="C8" s="1810" t="s">
        <v>615</v>
      </c>
      <c r="D8" s="1914"/>
      <c r="E8" s="1246">
        <f>IF(H8&gt;0,1,0)</f>
        <v>0</v>
      </c>
      <c r="F8" s="1243">
        <f>IFERROR(ROUND(H8/G8,2),0)</f>
        <v>0</v>
      </c>
      <c r="G8" s="1243">
        <f>IF(H8&gt;0,1.86,0)</f>
        <v>0</v>
      </c>
      <c r="H8" s="1259">
        <v>0</v>
      </c>
      <c r="I8" s="350">
        <f>IF(L8&gt;0,1,0)</f>
        <v>0</v>
      </c>
      <c r="J8" s="1243">
        <f>IFERROR(ROUND(L8/K8,2),0)</f>
        <v>0</v>
      </c>
      <c r="K8" s="1243">
        <f>IF(L8&gt;0,1.86,0)</f>
        <v>0</v>
      </c>
      <c r="L8" s="1245">
        <v>0</v>
      </c>
      <c r="M8" s="1246">
        <f>IF(P8&gt;0,1,0)</f>
        <v>0</v>
      </c>
      <c r="N8" s="1243">
        <f>IFERROR(ROUND(P8/O8,2),0)</f>
        <v>0</v>
      </c>
      <c r="O8" s="1243">
        <f>IF(P8&gt;0,1.86,0)</f>
        <v>0</v>
      </c>
      <c r="P8" s="1245">
        <v>0</v>
      </c>
      <c r="Q8" s="898"/>
      <c r="R8" s="898"/>
      <c r="S8" s="898"/>
      <c r="T8" s="898"/>
      <c r="U8" s="900"/>
      <c r="AA8" s="137">
        <f t="shared" si="0"/>
        <v>0</v>
      </c>
    </row>
    <row r="9" spans="1:30" s="122" customFormat="1" ht="27.75" customHeight="1">
      <c r="A9" s="218">
        <v>244</v>
      </c>
      <c r="B9" s="216"/>
      <c r="C9" s="1823" t="s">
        <v>619</v>
      </c>
      <c r="D9" s="1891"/>
      <c r="E9" s="1240">
        <v>4</v>
      </c>
      <c r="F9" s="1241">
        <v>12</v>
      </c>
      <c r="G9" s="1241">
        <v>949.2</v>
      </c>
      <c r="H9" s="1242"/>
      <c r="I9" s="1240">
        <v>4</v>
      </c>
      <c r="J9" s="1241">
        <v>11</v>
      </c>
      <c r="K9" s="1241">
        <v>949.2</v>
      </c>
      <c r="L9" s="1242"/>
      <c r="M9" s="1240">
        <v>4</v>
      </c>
      <c r="N9" s="1241">
        <v>11</v>
      </c>
      <c r="O9" s="1241">
        <v>949.2</v>
      </c>
      <c r="P9" s="1242"/>
      <c r="Q9" s="898"/>
      <c r="R9" s="898"/>
      <c r="S9" s="898"/>
      <c r="T9" s="898"/>
      <c r="U9" s="900"/>
      <c r="AA9" s="137">
        <f t="shared" si="0"/>
        <v>0</v>
      </c>
    </row>
    <row r="10" spans="1:30" s="122" customFormat="1" ht="27.75" customHeight="1">
      <c r="A10" s="218">
        <v>244</v>
      </c>
      <c r="B10" s="216"/>
      <c r="C10" s="1823" t="s">
        <v>620</v>
      </c>
      <c r="D10" s="1891"/>
      <c r="E10" s="1240">
        <v>1</v>
      </c>
      <c r="F10" s="1241">
        <v>12</v>
      </c>
      <c r="G10" s="1241">
        <v>2080</v>
      </c>
      <c r="H10" s="1242"/>
      <c r="I10" s="1240"/>
      <c r="J10" s="1241"/>
      <c r="K10" s="1241"/>
      <c r="L10" s="1242"/>
      <c r="M10" s="1240"/>
      <c r="N10" s="1241"/>
      <c r="O10" s="1241"/>
      <c r="P10" s="1242"/>
      <c r="Q10" s="898"/>
      <c r="R10" s="898"/>
      <c r="S10" s="898"/>
      <c r="T10" s="898"/>
      <c r="U10" s="900"/>
      <c r="AA10" s="137">
        <f t="shared" si="0"/>
        <v>0</v>
      </c>
    </row>
    <row r="11" spans="1:30" s="122" customFormat="1" ht="27.75" customHeight="1">
      <c r="A11" s="218">
        <v>244</v>
      </c>
      <c r="B11" s="216"/>
      <c r="C11" s="1823" t="s">
        <v>621</v>
      </c>
      <c r="D11" s="1891"/>
      <c r="E11" s="1240">
        <v>1</v>
      </c>
      <c r="F11" s="1241">
        <v>120</v>
      </c>
      <c r="G11" s="1241">
        <v>100</v>
      </c>
      <c r="H11" s="1242"/>
      <c r="I11" s="1240">
        <v>1</v>
      </c>
      <c r="J11" s="1241">
        <v>22</v>
      </c>
      <c r="K11" s="1241">
        <v>100</v>
      </c>
      <c r="L11" s="1242"/>
      <c r="M11" s="1240">
        <v>1</v>
      </c>
      <c r="N11" s="1241">
        <v>22</v>
      </c>
      <c r="O11" s="1241">
        <v>100</v>
      </c>
      <c r="P11" s="1242"/>
      <c r="Q11" s="898"/>
      <c r="R11" s="898"/>
      <c r="S11" s="898"/>
      <c r="T11" s="898"/>
      <c r="U11" s="900"/>
      <c r="AA11" s="137">
        <f t="shared" si="0"/>
        <v>0</v>
      </c>
    </row>
    <row r="12" spans="1:30" s="122" customFormat="1" ht="27.75" customHeight="1">
      <c r="A12" s="218">
        <v>244</v>
      </c>
      <c r="B12" s="216"/>
      <c r="C12" s="1823" t="s">
        <v>616</v>
      </c>
      <c r="D12" s="1891"/>
      <c r="E12" s="1240" t="s">
        <v>412</v>
      </c>
      <c r="F12" s="1241">
        <f>ROUNDUP(H12/500,0)</f>
        <v>323</v>
      </c>
      <c r="G12" s="1241">
        <f>IFERROR(ROUND(H12/F12,2),0)</f>
        <v>499.85</v>
      </c>
      <c r="H12" s="1242">
        <f>H13-H9-H10-H11-H8</f>
        <v>161450</v>
      </c>
      <c r="I12" s="1240" t="s">
        <v>412</v>
      </c>
      <c r="J12" s="1246">
        <f>ROUNDUP(L12/500,0)</f>
        <v>323</v>
      </c>
      <c r="K12" s="1243">
        <f>IFERROR(ROUND(L12/J12,2),0)</f>
        <v>499.85</v>
      </c>
      <c r="L12" s="1242">
        <f>L13-L9-L10-L11-L8</f>
        <v>161450</v>
      </c>
      <c r="M12" s="1240" t="s">
        <v>412</v>
      </c>
      <c r="N12" s="1246">
        <f>ROUNDUP(P12/500,0)</f>
        <v>323</v>
      </c>
      <c r="O12" s="1243">
        <f>IFERROR(ROUND(P12/N12,2),0)</f>
        <v>499.85</v>
      </c>
      <c r="P12" s="1242">
        <f>P13-P9-P10-P11-P8</f>
        <v>161450</v>
      </c>
      <c r="Q12" s="898"/>
      <c r="R12" s="898"/>
      <c r="S12" s="898"/>
      <c r="T12" s="898"/>
      <c r="U12" s="900"/>
      <c r="AA12" s="137">
        <f t="shared" si="0"/>
        <v>0</v>
      </c>
    </row>
    <row r="13" spans="1:30" s="122" customFormat="1" ht="27.75" customHeight="1">
      <c r="A13" s="258"/>
      <c r="B13" s="259"/>
      <c r="C13" s="1904" t="s">
        <v>554</v>
      </c>
      <c r="D13" s="1905"/>
      <c r="E13" s="718" t="s">
        <v>412</v>
      </c>
      <c r="F13" s="734" t="s">
        <v>412</v>
      </c>
      <c r="G13" s="734" t="s">
        <v>412</v>
      </c>
      <c r="H13" s="905">
        <f>SUMIFS(Титульный!$O$69:$O$292,
Титульный!$K$69:$K$292,'КФО 4'!$Q13,
Титульный!$L$69:$L$292,'КФО 4'!$S13,
Титульный!$N$69:$N$292,'КФО 4'!$T13)</f>
        <v>161450</v>
      </c>
      <c r="I13" s="736" t="s">
        <v>412</v>
      </c>
      <c r="J13" s="734" t="s">
        <v>412</v>
      </c>
      <c r="K13" s="734" t="s">
        <v>412</v>
      </c>
      <c r="L13" s="906">
        <f>SUMIFS(Титульный!$P$69:$P$292,
Титульный!$K$69:$K$292,'КФО 4'!$Q13,
Титульный!$L$69:$L$292,'КФО 4'!$S13,
Титульный!$N$69:$N$292,'КФО 4'!$T13)</f>
        <v>161450</v>
      </c>
      <c r="M13" s="718" t="s">
        <v>412</v>
      </c>
      <c r="N13" s="734" t="s">
        <v>412</v>
      </c>
      <c r="O13" s="734" t="s">
        <v>412</v>
      </c>
      <c r="P13" s="906">
        <f>SUMIFS(Титульный!$Q$69:$Q$292,
Титульный!$K$69:$K$292,'КФО 4'!$Q13,
Титульный!$L$69:$L$292,'КФО 4'!$S13,
Титульный!$N$69:$N$292,'КФО 4'!$T13)</f>
        <v>161450</v>
      </c>
      <c r="Q13" s="898">
        <v>4</v>
      </c>
      <c r="R13" s="898"/>
      <c r="S13" s="898">
        <v>244</v>
      </c>
      <c r="T13" s="898">
        <v>221</v>
      </c>
      <c r="U13" s="900"/>
      <c r="AA13" s="137">
        <f t="shared" si="0"/>
        <v>0</v>
      </c>
    </row>
    <row r="14" spans="1:30" s="144" customFormat="1" ht="12" customHeight="1">
      <c r="B14" s="256"/>
      <c r="Q14" s="898"/>
      <c r="R14" s="898"/>
      <c r="S14" s="898"/>
      <c r="T14" s="898"/>
      <c r="U14" s="900"/>
      <c r="AA14" s="137">
        <f t="shared" si="0"/>
        <v>0</v>
      </c>
    </row>
    <row r="15" spans="1:30" s="144" customFormat="1" ht="12" hidden="1" customHeight="1">
      <c r="B15" s="256"/>
      <c r="Q15" s="898"/>
      <c r="R15" s="898"/>
      <c r="S15" s="898"/>
      <c r="T15" s="898"/>
      <c r="U15" s="900"/>
      <c r="AA15" s="137">
        <f t="shared" si="0"/>
        <v>0</v>
      </c>
    </row>
    <row r="16" spans="1:30" s="144" customFormat="1" ht="12" hidden="1" customHeight="1">
      <c r="B16" s="256"/>
      <c r="Q16" s="898"/>
      <c r="R16" s="898"/>
      <c r="S16" s="898"/>
      <c r="T16" s="898"/>
      <c r="U16" s="900"/>
      <c r="AA16" s="137">
        <f t="shared" si="0"/>
        <v>0</v>
      </c>
    </row>
    <row r="17" spans="1:30" s="215" customFormat="1" ht="27.75" customHeight="1">
      <c r="A17" s="1643" t="s">
        <v>564</v>
      </c>
      <c r="B17" s="1643"/>
      <c r="C17" s="1643"/>
      <c r="D17" s="1643"/>
      <c r="E17" s="1643"/>
      <c r="F17" s="1643"/>
      <c r="G17" s="1643"/>
      <c r="H17" s="1643"/>
      <c r="I17" s="1643"/>
      <c r="J17" s="1643"/>
      <c r="K17" s="1643"/>
      <c r="L17" s="1643"/>
      <c r="M17" s="1643"/>
      <c r="N17" s="1643"/>
      <c r="O17" s="1643"/>
      <c r="P17" s="1643"/>
      <c r="Q17" s="898"/>
      <c r="R17" s="898"/>
      <c r="S17" s="898"/>
      <c r="T17" s="898"/>
      <c r="U17" s="899"/>
      <c r="AA17" s="137">
        <f t="shared" si="0"/>
        <v>0</v>
      </c>
    </row>
    <row r="18" spans="1:30" s="144" customFormat="1" ht="12" customHeight="1">
      <c r="B18" s="256"/>
      <c r="Q18" s="898"/>
      <c r="R18" s="898"/>
      <c r="S18" s="898"/>
      <c r="T18" s="898"/>
      <c r="U18" s="900"/>
      <c r="AA18" s="137">
        <f t="shared" si="0"/>
        <v>0</v>
      </c>
    </row>
    <row r="19" spans="1:30" s="144" customFormat="1" ht="33" customHeight="1">
      <c r="A19" s="1687" t="s">
        <v>541</v>
      </c>
      <c r="B19" s="1651" t="s">
        <v>430</v>
      </c>
      <c r="C19" s="1928" t="s">
        <v>553</v>
      </c>
      <c r="D19" s="1929"/>
      <c r="E19" s="1858" t="s">
        <v>1114</v>
      </c>
      <c r="F19" s="1859"/>
      <c r="G19" s="1859"/>
      <c r="H19" s="1887"/>
      <c r="I19" s="1856" t="s">
        <v>1115</v>
      </c>
      <c r="J19" s="1854"/>
      <c r="K19" s="1854"/>
      <c r="L19" s="1855"/>
      <c r="M19" s="1853" t="s">
        <v>1116</v>
      </c>
      <c r="N19" s="1854"/>
      <c r="O19" s="1854"/>
      <c r="P19" s="1855"/>
      <c r="Q19" s="898"/>
      <c r="R19" s="898"/>
      <c r="S19" s="898"/>
      <c r="T19" s="898"/>
      <c r="U19" s="900"/>
      <c r="AA19" s="137">
        <f t="shared" si="0"/>
        <v>0</v>
      </c>
      <c r="AB19" s="137">
        <f>SUM(G22)-SUBTOTAL(109,G22)</f>
        <v>0</v>
      </c>
      <c r="AC19" s="137">
        <f>SUM(K22)-SUBTOTAL(109,K22)</f>
        <v>0</v>
      </c>
      <c r="AD19" s="137">
        <f>SUM(O22)-SUBTOTAL(109,O22)</f>
        <v>0</v>
      </c>
    </row>
    <row r="20" spans="1:30" s="144" customFormat="1" ht="51">
      <c r="A20" s="1688"/>
      <c r="B20" s="1684"/>
      <c r="C20" s="1930"/>
      <c r="D20" s="1931"/>
      <c r="E20" s="169" t="s">
        <v>565</v>
      </c>
      <c r="F20" s="171" t="s">
        <v>566</v>
      </c>
      <c r="G20" s="1838" t="s">
        <v>496</v>
      </c>
      <c r="H20" s="1839"/>
      <c r="I20" s="169" t="s">
        <v>565</v>
      </c>
      <c r="J20" s="171" t="s">
        <v>566</v>
      </c>
      <c r="K20" s="1838" t="s">
        <v>496</v>
      </c>
      <c r="L20" s="1839"/>
      <c r="M20" s="169" t="s">
        <v>565</v>
      </c>
      <c r="N20" s="171" t="s">
        <v>566</v>
      </c>
      <c r="O20" s="1838" t="s">
        <v>496</v>
      </c>
      <c r="P20" s="1839"/>
      <c r="Q20" s="898"/>
      <c r="R20" s="898"/>
      <c r="S20" s="898"/>
      <c r="T20" s="898"/>
      <c r="U20" s="900"/>
      <c r="AA20" s="137">
        <f t="shared" si="0"/>
        <v>0</v>
      </c>
    </row>
    <row r="21" spans="1:30" s="121" customFormat="1">
      <c r="A21" s="187" t="s">
        <v>6</v>
      </c>
      <c r="B21" s="377" t="s">
        <v>7</v>
      </c>
      <c r="C21" s="1906" t="s">
        <v>8</v>
      </c>
      <c r="D21" s="1907"/>
      <c r="E21" s="187">
        <v>4</v>
      </c>
      <c r="F21" s="178">
        <v>5</v>
      </c>
      <c r="G21" s="1653" t="s">
        <v>716</v>
      </c>
      <c r="H21" s="1654"/>
      <c r="I21" s="187">
        <v>7</v>
      </c>
      <c r="J21" s="178">
        <v>8</v>
      </c>
      <c r="K21" s="1653" t="s">
        <v>717</v>
      </c>
      <c r="L21" s="1654"/>
      <c r="M21" s="187" t="s">
        <v>413</v>
      </c>
      <c r="N21" s="178" t="s">
        <v>418</v>
      </c>
      <c r="O21" s="1653" t="s">
        <v>499</v>
      </c>
      <c r="P21" s="1654"/>
      <c r="Q21" s="898"/>
      <c r="R21" s="898"/>
      <c r="S21" s="898"/>
      <c r="T21" s="898"/>
      <c r="U21" s="900"/>
      <c r="AA21" s="137">
        <f t="shared" si="0"/>
        <v>0</v>
      </c>
    </row>
    <row r="22" spans="1:30" s="122" customFormat="1" ht="27.75" customHeight="1">
      <c r="A22" s="236">
        <v>244</v>
      </c>
      <c r="B22" s="247"/>
      <c r="C22" s="1810" t="s">
        <v>617</v>
      </c>
      <c r="D22" s="1810"/>
      <c r="E22" s="350">
        <f>ROUNDUP(G22/10000,0)</f>
        <v>0</v>
      </c>
      <c r="F22" s="1243">
        <f>IFERROR(ROUND(G22/E22,2),0)</f>
        <v>0</v>
      </c>
      <c r="G22" s="1704">
        <f>G23</f>
        <v>0</v>
      </c>
      <c r="H22" s="1708"/>
      <c r="I22" s="350">
        <f>ROUNDUP(K22/10000,0)</f>
        <v>0</v>
      </c>
      <c r="J22" s="1243">
        <f>IFERROR(ROUND(K22/I22,2),0)</f>
        <v>0</v>
      </c>
      <c r="K22" s="1704">
        <f>K23</f>
        <v>0</v>
      </c>
      <c r="L22" s="1708"/>
      <c r="M22" s="350">
        <f>ROUNDUP(O22/10000,0)</f>
        <v>0</v>
      </c>
      <c r="N22" s="1243">
        <f>IFERROR(ROUND(O22/M22,2),0)</f>
        <v>0</v>
      </c>
      <c r="O22" s="1704">
        <f>O23</f>
        <v>0</v>
      </c>
      <c r="P22" s="1708"/>
      <c r="Q22" s="898"/>
      <c r="R22" s="898"/>
      <c r="S22" s="898"/>
      <c r="T22" s="898"/>
      <c r="U22" s="900"/>
      <c r="AA22" s="137">
        <f t="shared" si="0"/>
        <v>0</v>
      </c>
    </row>
    <row r="23" spans="1:30" s="267" customFormat="1" ht="27.75" customHeight="1">
      <c r="A23" s="258"/>
      <c r="B23" s="261"/>
      <c r="C23" s="1904" t="s">
        <v>554</v>
      </c>
      <c r="D23" s="1905"/>
      <c r="E23" s="736" t="s">
        <v>412</v>
      </c>
      <c r="F23" s="734" t="s">
        <v>412</v>
      </c>
      <c r="G23" s="1667">
        <f>SUMIFS(Титульный!$O$69:$O$292,Титульный!$K$69:$K$292,'КФО 4'!$Q23,Титульный!$L$69:$L$292,'КФО 4'!$S23,Титульный!$N$69:$N$292,'КФО 4'!$T23)</f>
        <v>0</v>
      </c>
      <c r="H23" s="1800">
        <f>SUMIFS(Титульный!$O$69:$O$292,Титульный!$K$69:$K$292,'КФО 4'!$Q23,Титульный!$L$69:$L$292,'КФО 4'!$S23,Титульный!$N$69:$N$292,'КФО 4'!$T23)</f>
        <v>0</v>
      </c>
      <c r="I23" s="736" t="s">
        <v>412</v>
      </c>
      <c r="J23" s="734" t="s">
        <v>412</v>
      </c>
      <c r="K23" s="1886">
        <f>SUMIFS(Титульный!$P$69:$P$292,
Титульный!$K$69:$K$292,'КФО 4'!$Q23,
Титульный!$L$69:$L$292,'КФО 4'!$S23,
Титульный!$N$69:$N$292,'КФО 4'!$T23)</f>
        <v>0</v>
      </c>
      <c r="L23" s="1800">
        <f>SUMIFS(Титульный!$P$69:$P$292,
Титульный!$K$69:$K$292,'КФО 4'!$Q23,
Титульный!$L$69:$L$292,'КФО 4'!$S23,
Титульный!$N$69:$N$292,'КФО 4'!$T23)</f>
        <v>0</v>
      </c>
      <c r="M23" s="736" t="s">
        <v>412</v>
      </c>
      <c r="N23" s="734" t="s">
        <v>412</v>
      </c>
      <c r="O23" s="1886">
        <f>SUMIFS(Титульный!$Q$69:$Q$292,
Титульный!$K$69:$K$292,'КФО 4'!$Q23,
Титульный!$L$69:$L$292,'КФО 4'!$S23,
Титульный!$N$69:$N$292,'КФО 4'!$T23)</f>
        <v>0</v>
      </c>
      <c r="P23" s="1800">
        <f>SUMIFS(Титульный!$Q$69:$Q$292,
Титульный!$K$69:$K$292,'КФО 4'!$Q23,
Титульный!$L$69:$L$292,'КФО 4'!$S23,
Титульный!$N$69:$N$292,'КФО 4'!$T23)</f>
        <v>0</v>
      </c>
      <c r="Q23" s="898">
        <v>4</v>
      </c>
      <c r="R23" s="898"/>
      <c r="S23" s="898">
        <v>244</v>
      </c>
      <c r="T23" s="898">
        <v>222</v>
      </c>
      <c r="U23" s="898"/>
      <c r="AA23" s="137">
        <f t="shared" si="0"/>
        <v>0</v>
      </c>
    </row>
    <row r="24" spans="1:30" s="144" customFormat="1" ht="12" customHeight="1">
      <c r="B24" s="256"/>
      <c r="Q24" s="898"/>
      <c r="R24" s="898"/>
      <c r="S24" s="898"/>
      <c r="T24" s="898"/>
      <c r="U24" s="900"/>
      <c r="AA24" s="137">
        <f t="shared" si="0"/>
        <v>0</v>
      </c>
    </row>
    <row r="25" spans="1:30" s="144" customFormat="1" ht="12" hidden="1" customHeight="1">
      <c r="B25" s="256"/>
      <c r="Q25" s="898"/>
      <c r="R25" s="898"/>
      <c r="S25" s="898"/>
      <c r="T25" s="898"/>
      <c r="U25" s="900"/>
      <c r="AA25" s="137">
        <f t="shared" si="0"/>
        <v>0</v>
      </c>
    </row>
    <row r="26" spans="1:30" s="144" customFormat="1" ht="12" hidden="1" customHeight="1">
      <c r="B26" s="256"/>
      <c r="Q26" s="898"/>
      <c r="R26" s="898"/>
      <c r="S26" s="898"/>
      <c r="T26" s="898"/>
      <c r="U26" s="900"/>
      <c r="AA26" s="137">
        <f t="shared" si="0"/>
        <v>0</v>
      </c>
    </row>
    <row r="27" spans="1:30" s="215" customFormat="1" ht="27.75" customHeight="1">
      <c r="A27" s="1643" t="s">
        <v>567</v>
      </c>
      <c r="B27" s="1643"/>
      <c r="C27" s="1643"/>
      <c r="D27" s="1643"/>
      <c r="E27" s="1643"/>
      <c r="F27" s="1643"/>
      <c r="G27" s="1643"/>
      <c r="H27" s="1643"/>
      <c r="I27" s="1643"/>
      <c r="J27" s="1643"/>
      <c r="K27" s="1643"/>
      <c r="L27" s="1643"/>
      <c r="M27" s="1643"/>
      <c r="N27" s="1643"/>
      <c r="O27" s="1643"/>
      <c r="P27" s="1643"/>
      <c r="Q27" s="898"/>
      <c r="R27" s="898"/>
      <c r="S27" s="898"/>
      <c r="T27" s="898"/>
      <c r="U27" s="899"/>
      <c r="AA27" s="137">
        <f t="shared" si="0"/>
        <v>0</v>
      </c>
    </row>
    <row r="28" spans="1:30" s="144" customFormat="1" ht="12" customHeight="1">
      <c r="B28" s="256"/>
      <c r="Q28" s="898"/>
      <c r="R28" s="898"/>
      <c r="S28" s="898"/>
      <c r="T28" s="898"/>
      <c r="U28" s="900"/>
      <c r="AA28" s="137">
        <f t="shared" si="0"/>
        <v>0</v>
      </c>
    </row>
    <row r="29" spans="1:30" s="144" customFormat="1" ht="33.75" customHeight="1">
      <c r="A29" s="1687" t="s">
        <v>541</v>
      </c>
      <c r="B29" s="1651" t="s">
        <v>430</v>
      </c>
      <c r="C29" s="1892" t="s">
        <v>0</v>
      </c>
      <c r="D29" s="1696" t="s">
        <v>211</v>
      </c>
      <c r="E29" s="1858" t="s">
        <v>1114</v>
      </c>
      <c r="F29" s="1859"/>
      <c r="G29" s="1859"/>
      <c r="H29" s="1887"/>
      <c r="I29" s="1856" t="s">
        <v>1115</v>
      </c>
      <c r="J29" s="1854"/>
      <c r="K29" s="1854"/>
      <c r="L29" s="1855"/>
      <c r="M29" s="1853" t="s">
        <v>1116</v>
      </c>
      <c r="N29" s="1854"/>
      <c r="O29" s="1854"/>
      <c r="P29" s="1855"/>
      <c r="Q29" s="898"/>
      <c r="R29" s="898"/>
      <c r="S29" s="898"/>
      <c r="T29" s="898"/>
      <c r="U29" s="900"/>
      <c r="AA29" s="137">
        <f t="shared" si="0"/>
        <v>0</v>
      </c>
      <c r="AB29" s="137">
        <f>SUM(G32:H35)-SUBTOTAL(109,G32:H35)</f>
        <v>0</v>
      </c>
      <c r="AC29" s="137">
        <f>SUM(K32:L35)-SUBTOTAL(109,K32:L35)</f>
        <v>0</v>
      </c>
      <c r="AD29" s="137">
        <f>SUM(O32:P35)-SUBTOTAL(109,O32:P35)</f>
        <v>0</v>
      </c>
    </row>
    <row r="30" spans="1:30" s="144" customFormat="1" ht="38.25">
      <c r="A30" s="1688"/>
      <c r="B30" s="1684"/>
      <c r="C30" s="1847"/>
      <c r="D30" s="1698"/>
      <c r="E30" s="169" t="s">
        <v>568</v>
      </c>
      <c r="F30" s="171" t="s">
        <v>569</v>
      </c>
      <c r="G30" s="1838" t="s">
        <v>496</v>
      </c>
      <c r="H30" s="1839"/>
      <c r="I30" s="169" t="s">
        <v>568</v>
      </c>
      <c r="J30" s="171" t="s">
        <v>569</v>
      </c>
      <c r="K30" s="1838" t="s">
        <v>496</v>
      </c>
      <c r="L30" s="1839"/>
      <c r="M30" s="169" t="s">
        <v>568</v>
      </c>
      <c r="N30" s="171" t="s">
        <v>569</v>
      </c>
      <c r="O30" s="1838" t="s">
        <v>496</v>
      </c>
      <c r="P30" s="1839"/>
      <c r="Q30" s="898"/>
      <c r="R30" s="898"/>
      <c r="S30" s="898"/>
      <c r="T30" s="898"/>
      <c r="U30" s="900"/>
      <c r="AA30" s="137">
        <f t="shared" si="0"/>
        <v>0</v>
      </c>
    </row>
    <row r="31" spans="1:30" s="121" customFormat="1">
      <c r="A31" s="187" t="s">
        <v>6</v>
      </c>
      <c r="B31" s="377" t="s">
        <v>7</v>
      </c>
      <c r="C31" s="178" t="s">
        <v>8</v>
      </c>
      <c r="D31" s="179" t="s">
        <v>9</v>
      </c>
      <c r="E31" s="187">
        <v>5</v>
      </c>
      <c r="F31" s="178">
        <v>6</v>
      </c>
      <c r="G31" s="1653" t="s">
        <v>718</v>
      </c>
      <c r="H31" s="1654"/>
      <c r="I31" s="187">
        <v>8</v>
      </c>
      <c r="J31" s="178">
        <v>9</v>
      </c>
      <c r="K31" s="1653" t="s">
        <v>719</v>
      </c>
      <c r="L31" s="1654"/>
      <c r="M31" s="187">
        <v>11</v>
      </c>
      <c r="N31" s="178">
        <v>12</v>
      </c>
      <c r="O31" s="1653" t="s">
        <v>720</v>
      </c>
      <c r="P31" s="1654"/>
      <c r="Q31" s="898"/>
      <c r="R31" s="898"/>
      <c r="S31" s="898"/>
      <c r="T31" s="898"/>
      <c r="U31" s="900"/>
      <c r="AA31" s="137">
        <f t="shared" si="0"/>
        <v>0</v>
      </c>
    </row>
    <row r="32" spans="1:30" s="122" customFormat="1" ht="27.75" customHeight="1">
      <c r="A32" s="225">
        <v>247</v>
      </c>
      <c r="B32" s="226"/>
      <c r="C32" s="227" t="s">
        <v>571</v>
      </c>
      <c r="D32" s="228" t="s">
        <v>722</v>
      </c>
      <c r="E32" s="350">
        <f>ROUND(G32/F32,2)</f>
        <v>2449.13</v>
      </c>
      <c r="F32" s="1243">
        <f>'КФО 2'!F32</f>
        <v>5268</v>
      </c>
      <c r="G32" s="1704">
        <f>SUMIFS(Титульный!$O$69:$O$292,Титульный!$K$69:$K$292,'КФО 4'!Q32,Титульный!$M$69:$M$292,'КФО 4'!S32)</f>
        <v>12902012.42</v>
      </c>
      <c r="H32" s="1708"/>
      <c r="I32" s="350">
        <f>ROUND(K32/J32,2)</f>
        <v>2496.71</v>
      </c>
      <c r="J32" s="1243">
        <f>'КФО 2'!J32</f>
        <v>5473.4519999999993</v>
      </c>
      <c r="K32" s="1704">
        <f>SUMIFS(Титульный!$P$69:$P$292,Титульный!$K$69:$K$292,'КФО 4'!Q32,Титульный!$M$69:$M$292,'КФО 4'!S32)</f>
        <v>13665600</v>
      </c>
      <c r="L32" s="1708"/>
      <c r="M32" s="350">
        <f>ROUND(O32/N32,2)</f>
        <v>2402.9899999999998</v>
      </c>
      <c r="N32" s="1243">
        <f>'КФО 2'!N32</f>
        <v>5686.916627999999</v>
      </c>
      <c r="O32" s="1704">
        <f>SUMIFS(Титульный!$Q$69:$Q$292,Титульный!$K$69:$K$292,'КФО 4'!Q32,Титульный!$M$69:$M$292,'КФО 4'!S32)</f>
        <v>13665600</v>
      </c>
      <c r="P32" s="1708"/>
      <c r="Q32" s="898">
        <v>4</v>
      </c>
      <c r="R32" s="898"/>
      <c r="S32" s="898" t="s">
        <v>784</v>
      </c>
      <c r="T32" s="898"/>
      <c r="U32" s="900"/>
      <c r="AA32" s="137">
        <f t="shared" si="0"/>
        <v>0</v>
      </c>
    </row>
    <row r="33" spans="1:30" s="122" customFormat="1" ht="27.75" customHeight="1">
      <c r="A33" s="218">
        <v>247</v>
      </c>
      <c r="B33" s="217"/>
      <c r="C33" s="229" t="s">
        <v>570</v>
      </c>
      <c r="D33" s="219" t="s">
        <v>721</v>
      </c>
      <c r="E33" s="1247">
        <f>ROUND(G33/F33,2)</f>
        <v>267421.69</v>
      </c>
      <c r="F33" s="1243">
        <f>'КФО 2'!F33</f>
        <v>8.3000000000000007</v>
      </c>
      <c r="G33" s="1882">
        <f>SUMIFS(Титульный!$O$69:$O$292,Титульный!$K$69:$K$292,'КФО 4'!Q33,Титульный!$M$69:$M$292,'КФО 4'!S33)</f>
        <v>2219600</v>
      </c>
      <c r="H33" s="1883"/>
      <c r="I33" s="1247">
        <f>ROUND(K33/J33,2)</f>
        <v>257383.72</v>
      </c>
      <c r="J33" s="1243">
        <f>'КФО 2'!J33</f>
        <v>8.6236999999999995</v>
      </c>
      <c r="K33" s="1882">
        <f>SUMIFS(Титульный!$P$69:$P$292,Титульный!$K$69:$K$292,'КФО 4'!Q33,Титульный!$M$69:$M$292,'КФО 4'!S33)</f>
        <v>2219600</v>
      </c>
      <c r="L33" s="1883"/>
      <c r="M33" s="1247">
        <f>ROUND(O33/N33,2)</f>
        <v>247722.54</v>
      </c>
      <c r="N33" s="1243">
        <f>'КФО 2'!N33</f>
        <v>8.9600242999999988</v>
      </c>
      <c r="O33" s="1882">
        <f>SUMIFS(Титульный!$Q$69:$Q$292,Титульный!$K$69:$K$292,'КФО 4'!Q33,Титульный!$M$69:$M$292,'КФО 4'!S33)</f>
        <v>2219600</v>
      </c>
      <c r="P33" s="1883"/>
      <c r="Q33" s="898">
        <v>4</v>
      </c>
      <c r="R33" s="898"/>
      <c r="S33" s="898" t="s">
        <v>785</v>
      </c>
      <c r="T33" s="898"/>
      <c r="U33" s="900"/>
      <c r="AA33" s="137">
        <f t="shared" si="0"/>
        <v>0</v>
      </c>
    </row>
    <row r="34" spans="1:30" s="122" customFormat="1" ht="27.75" customHeight="1">
      <c r="A34" s="218">
        <v>247</v>
      </c>
      <c r="B34" s="217"/>
      <c r="C34" s="230" t="s">
        <v>572</v>
      </c>
      <c r="D34" s="219" t="s">
        <v>723</v>
      </c>
      <c r="E34" s="1247">
        <f>ROUND(G34/F34,2)</f>
        <v>11374.28</v>
      </c>
      <c r="F34" s="1243">
        <f>'КФО 2'!F34</f>
        <v>93.14</v>
      </c>
      <c r="G34" s="1882">
        <f>SUMIFS(Титульный!$O$69:$O$292,Титульный!$K$69:$K$292,'КФО 4'!Q34,Титульный!$M$69:$M$292,'КФО 4'!S34)</f>
        <v>1059400</v>
      </c>
      <c r="H34" s="1883"/>
      <c r="I34" s="1247">
        <f>ROUND(K34/J34,2)</f>
        <v>10947.33</v>
      </c>
      <c r="J34" s="1243">
        <f>'КФО 2'!J34</f>
        <v>96.772459999999995</v>
      </c>
      <c r="K34" s="1882">
        <f>SUMIFS(Титульный!$P$69:$P$292,Титульный!$K$69:$K$292,'КФО 4'!Q34,Титульный!$M$69:$M$292,'КФО 4'!S34)</f>
        <v>1059400</v>
      </c>
      <c r="L34" s="1883"/>
      <c r="M34" s="1247">
        <f>ROUND(O34/N34,2)</f>
        <v>10536.41</v>
      </c>
      <c r="N34" s="1243">
        <f>'КФО 2'!N34</f>
        <v>100.54658593999999</v>
      </c>
      <c r="O34" s="1882">
        <f>SUMIFS(Титульный!$Q$69:$Q$292,Титульный!$K$69:$K$292,'КФО 4'!Q34,Титульный!$M$69:$M$292,'КФО 4'!S34)</f>
        <v>1059400</v>
      </c>
      <c r="P34" s="1883"/>
      <c r="Q34" s="898">
        <v>4</v>
      </c>
      <c r="R34" s="898"/>
      <c r="S34" s="898" t="s">
        <v>783</v>
      </c>
      <c r="T34" s="898"/>
      <c r="U34" s="900"/>
      <c r="AA34" s="137">
        <f t="shared" si="0"/>
        <v>0</v>
      </c>
    </row>
    <row r="35" spans="1:30" s="122" customFormat="1" ht="27.75" customHeight="1">
      <c r="A35" s="218">
        <v>244</v>
      </c>
      <c r="B35" s="217"/>
      <c r="C35" s="230" t="s">
        <v>573</v>
      </c>
      <c r="D35" s="219" t="s">
        <v>723</v>
      </c>
      <c r="E35" s="1247">
        <f>ROUND(G35/F35,2)</f>
        <v>355.01</v>
      </c>
      <c r="F35" s="1243">
        <f>'КФО 2'!F35</f>
        <v>1024.8</v>
      </c>
      <c r="G35" s="1882">
        <f>SUMIFS(Титульный!$O$69:$O$292,Титульный!$K$69:$K$292,'КФО 4'!Q35,Титульный!$M$69:$M$292,'КФО 4'!S35)</f>
        <v>363816.83</v>
      </c>
      <c r="H35" s="1883"/>
      <c r="I35" s="1247">
        <f>ROUND(K35/J35,2)</f>
        <v>339.95</v>
      </c>
      <c r="J35" s="1243">
        <f>'КФО 2'!J35</f>
        <v>1064.7671999999998</v>
      </c>
      <c r="K35" s="1882">
        <f>SUMIFS(Титульный!$P$69:$P$292,Титульный!$K$69:$K$292,'КФО 4'!Q35,Титульный!$M$69:$M$292,'КФО 4'!S35)</f>
        <v>361966</v>
      </c>
      <c r="L35" s="1883"/>
      <c r="M35" s="1247">
        <f>ROUND(O35/N35,2)</f>
        <v>327.19</v>
      </c>
      <c r="N35" s="1243">
        <f>'КФО 2'!N35</f>
        <v>1106.2931207999998</v>
      </c>
      <c r="O35" s="1882">
        <f>SUMIFS(Титульный!$Q$69:$Q$292,Титульный!$K$69:$K$292,'КФО 4'!Q35,Титульный!$M$69:$M$292,'КФО 4'!S35)</f>
        <v>361966</v>
      </c>
      <c r="P35" s="1883"/>
      <c r="Q35" s="898">
        <v>4</v>
      </c>
      <c r="R35" s="898"/>
      <c r="S35" s="898">
        <v>14569</v>
      </c>
      <c r="T35" s="898"/>
      <c r="U35" s="900"/>
      <c r="AA35" s="137">
        <f t="shared" si="0"/>
        <v>0</v>
      </c>
    </row>
    <row r="36" spans="1:30" s="122" customFormat="1" ht="27.75" customHeight="1">
      <c r="A36" s="231"/>
      <c r="B36" s="246"/>
      <c r="C36" s="233"/>
      <c r="D36" s="234"/>
      <c r="E36" s="1258"/>
      <c r="F36" s="1244"/>
      <c r="G36" s="1705"/>
      <c r="H36" s="1712"/>
      <c r="I36" s="1258"/>
      <c r="J36" s="1244"/>
      <c r="K36" s="1705"/>
      <c r="L36" s="1712"/>
      <c r="M36" s="1258"/>
      <c r="N36" s="1244"/>
      <c r="O36" s="1705"/>
      <c r="P36" s="1712"/>
      <c r="Q36" s="898"/>
      <c r="R36" s="898"/>
      <c r="S36" s="898"/>
      <c r="T36" s="898"/>
      <c r="U36" s="900"/>
      <c r="AA36" s="137">
        <f t="shared" si="0"/>
        <v>0</v>
      </c>
    </row>
    <row r="37" spans="1:30" s="267" customFormat="1" ht="27.75" customHeight="1">
      <c r="A37" s="260"/>
      <c r="B37" s="261"/>
      <c r="C37" s="235" t="s">
        <v>554</v>
      </c>
      <c r="D37" s="262" t="s">
        <v>412</v>
      </c>
      <c r="E37" s="736" t="s">
        <v>412</v>
      </c>
      <c r="F37" s="734" t="s">
        <v>412</v>
      </c>
      <c r="G37" s="1667">
        <f>SUM(G32:H35)</f>
        <v>16544829.25</v>
      </c>
      <c r="H37" s="1800"/>
      <c r="I37" s="736" t="s">
        <v>412</v>
      </c>
      <c r="J37" s="734" t="s">
        <v>412</v>
      </c>
      <c r="K37" s="1667">
        <f>SUM(K32:L35)</f>
        <v>17306566</v>
      </c>
      <c r="L37" s="1800"/>
      <c r="M37" s="736" t="s">
        <v>412</v>
      </c>
      <c r="N37" s="734" t="s">
        <v>412</v>
      </c>
      <c r="O37" s="1667">
        <f>SUM(O32:P35)</f>
        <v>17306566</v>
      </c>
      <c r="P37" s="1800"/>
      <c r="Q37" s="898"/>
      <c r="R37" s="898"/>
      <c r="S37" s="898"/>
      <c r="T37" s="898"/>
      <c r="U37" s="898"/>
      <c r="X37" s="398"/>
      <c r="AA37" s="137">
        <f t="shared" ref="AA37:AA68" si="1">SUM(AB37:BD37)</f>
        <v>0</v>
      </c>
    </row>
    <row r="38" spans="1:30" s="144" customFormat="1" ht="12" customHeight="1">
      <c r="B38" s="256"/>
      <c r="Q38" s="898"/>
      <c r="R38" s="898"/>
      <c r="S38" s="898"/>
      <c r="T38" s="898"/>
      <c r="U38" s="900"/>
      <c r="AA38" s="137">
        <f t="shared" si="1"/>
        <v>0</v>
      </c>
    </row>
    <row r="39" spans="1:30" s="144" customFormat="1" ht="12" hidden="1" customHeight="1">
      <c r="B39" s="256"/>
      <c r="Q39" s="898"/>
      <c r="R39" s="898"/>
      <c r="S39" s="898"/>
      <c r="T39" s="898"/>
      <c r="U39" s="900"/>
      <c r="AA39" s="137">
        <f t="shared" si="1"/>
        <v>0</v>
      </c>
    </row>
    <row r="40" spans="1:30" s="144" customFormat="1" ht="12" hidden="1" customHeight="1">
      <c r="B40" s="256"/>
      <c r="Q40" s="898"/>
      <c r="R40" s="898"/>
      <c r="S40" s="898"/>
      <c r="T40" s="898"/>
      <c r="U40" s="900"/>
      <c r="AA40" s="137">
        <f t="shared" si="1"/>
        <v>0</v>
      </c>
    </row>
    <row r="41" spans="1:30" s="215" customFormat="1" ht="27.75" customHeight="1">
      <c r="A41" s="1643" t="s">
        <v>574</v>
      </c>
      <c r="B41" s="1643"/>
      <c r="C41" s="1643"/>
      <c r="D41" s="1643"/>
      <c r="E41" s="1643"/>
      <c r="F41" s="1643"/>
      <c r="G41" s="1643"/>
      <c r="H41" s="1643"/>
      <c r="I41" s="1643"/>
      <c r="J41" s="1643"/>
      <c r="K41" s="1643"/>
      <c r="L41" s="1643"/>
      <c r="M41" s="1643"/>
      <c r="N41" s="1643"/>
      <c r="O41" s="1643"/>
      <c r="P41" s="1643"/>
      <c r="Q41" s="898"/>
      <c r="R41" s="898"/>
      <c r="S41" s="898"/>
      <c r="T41" s="898"/>
      <c r="U41" s="899"/>
      <c r="AA41" s="137">
        <f t="shared" si="1"/>
        <v>0</v>
      </c>
    </row>
    <row r="42" spans="1:30" s="144" customFormat="1" ht="12" customHeight="1">
      <c r="B42" s="256"/>
      <c r="Q42" s="898"/>
      <c r="R42" s="898"/>
      <c r="S42" s="898"/>
      <c r="T42" s="898"/>
      <c r="U42" s="900"/>
      <c r="AA42" s="137">
        <f t="shared" si="1"/>
        <v>0</v>
      </c>
    </row>
    <row r="43" spans="1:30" s="144" customFormat="1" ht="33" customHeight="1">
      <c r="A43" s="1687" t="s">
        <v>541</v>
      </c>
      <c r="B43" s="1651" t="s">
        <v>430</v>
      </c>
      <c r="C43" s="1892" t="s">
        <v>553</v>
      </c>
      <c r="D43" s="1685"/>
      <c r="E43" s="1858" t="s">
        <v>1114</v>
      </c>
      <c r="F43" s="1859"/>
      <c r="G43" s="1859"/>
      <c r="H43" s="1887"/>
      <c r="I43" s="1856" t="s">
        <v>1115</v>
      </c>
      <c r="J43" s="1854"/>
      <c r="K43" s="1854"/>
      <c r="L43" s="1855"/>
      <c r="M43" s="1853" t="s">
        <v>1116</v>
      </c>
      <c r="N43" s="1854"/>
      <c r="O43" s="1854"/>
      <c r="P43" s="1855"/>
      <c r="Q43" s="898"/>
      <c r="R43" s="898"/>
      <c r="S43" s="898"/>
      <c r="T43" s="898"/>
      <c r="U43" s="900"/>
      <c r="AA43" s="137">
        <f t="shared" si="1"/>
        <v>0</v>
      </c>
      <c r="AB43" s="137">
        <f>SUM(G46:H48)-SUBTOTAL(109,G46:H48)</f>
        <v>0</v>
      </c>
      <c r="AC43" s="137">
        <f>SUM(K46:L48)-SUBTOTAL(109,K46:L48)</f>
        <v>0</v>
      </c>
      <c r="AD43" s="137">
        <f>SUM(O46:P48)-SUBTOTAL(109,O46:P48)</f>
        <v>0</v>
      </c>
    </row>
    <row r="44" spans="1:30" s="144" customFormat="1" ht="51">
      <c r="A44" s="1688"/>
      <c r="B44" s="1684"/>
      <c r="C44" s="1893"/>
      <c r="D44" s="1901"/>
      <c r="E44" s="181" t="s">
        <v>575</v>
      </c>
      <c r="F44" s="183" t="s">
        <v>576</v>
      </c>
      <c r="G44" s="1911" t="s">
        <v>496</v>
      </c>
      <c r="H44" s="1912"/>
      <c r="I44" s="181" t="s">
        <v>575</v>
      </c>
      <c r="J44" s="183" t="s">
        <v>576</v>
      </c>
      <c r="K44" s="1911" t="s">
        <v>496</v>
      </c>
      <c r="L44" s="1912"/>
      <c r="M44" s="184" t="s">
        <v>575</v>
      </c>
      <c r="N44" s="183" t="s">
        <v>576</v>
      </c>
      <c r="O44" s="1911" t="s">
        <v>496</v>
      </c>
      <c r="P44" s="1912"/>
      <c r="Q44" s="898"/>
      <c r="R44" s="898"/>
      <c r="S44" s="898"/>
      <c r="T44" s="898"/>
      <c r="U44" s="900"/>
      <c r="AA44" s="137">
        <f t="shared" si="1"/>
        <v>0</v>
      </c>
    </row>
    <row r="45" spans="1:30" s="144" customFormat="1">
      <c r="A45" s="187" t="s">
        <v>6</v>
      </c>
      <c r="B45" s="252" t="s">
        <v>7</v>
      </c>
      <c r="C45" s="1895" t="s">
        <v>8</v>
      </c>
      <c r="D45" s="1896"/>
      <c r="E45" s="187">
        <v>4</v>
      </c>
      <c r="F45" s="178">
        <v>5</v>
      </c>
      <c r="G45" s="1653" t="s">
        <v>716</v>
      </c>
      <c r="H45" s="1654"/>
      <c r="I45" s="187">
        <v>7</v>
      </c>
      <c r="J45" s="178">
        <v>8</v>
      </c>
      <c r="K45" s="1653" t="s">
        <v>717</v>
      </c>
      <c r="L45" s="1654"/>
      <c r="M45" s="187" t="s">
        <v>413</v>
      </c>
      <c r="N45" s="178" t="s">
        <v>418</v>
      </c>
      <c r="O45" s="1653" t="s">
        <v>499</v>
      </c>
      <c r="P45" s="1654"/>
      <c r="Q45" s="898"/>
      <c r="R45" s="898"/>
      <c r="S45" s="898"/>
      <c r="T45" s="898"/>
      <c r="U45" s="900"/>
      <c r="AA45" s="137">
        <f t="shared" si="1"/>
        <v>0</v>
      </c>
    </row>
    <row r="46" spans="1:30" s="122" customFormat="1" ht="27.75" customHeight="1">
      <c r="A46" s="236">
        <v>244</v>
      </c>
      <c r="B46" s="241"/>
      <c r="C46" s="1810" t="s">
        <v>239</v>
      </c>
      <c r="D46" s="1902"/>
      <c r="E46" s="350"/>
      <c r="F46" s="1243">
        <f t="shared" ref="F46:F48" si="2">IFERROR(ROUND(G46/E46,2),0)</f>
        <v>0</v>
      </c>
      <c r="G46" s="1932">
        <f>SUMIFS(Титульный!$O$69:$O$292,Титульный!$K$69:$K$292,'КФО 4'!Q46,Титульный!$M$69:$M$292,'КФО 4'!S46,Титульный!$N$69:$N$292,T46)</f>
        <v>0</v>
      </c>
      <c r="H46" s="1933"/>
      <c r="I46" s="350"/>
      <c r="J46" s="1243">
        <f t="shared" ref="J46:J48" si="3">IFERROR(ROUND(K46/I46,2),0)</f>
        <v>0</v>
      </c>
      <c r="K46" s="1932">
        <f>SUMIFS(Титульный!$P$69:$P$292,Титульный!$K$69:$K$292,'КФО 4'!Q46,Титульный!$M$69:$M$292,'КФО 4'!S46,Титульный!$N$69:$N$292,T46)</f>
        <v>0</v>
      </c>
      <c r="L46" s="1933"/>
      <c r="M46" s="1246"/>
      <c r="N46" s="1243">
        <f t="shared" ref="N46:N48" si="4">IFERROR(ROUND(O46/M46,2),0)</f>
        <v>0</v>
      </c>
      <c r="O46" s="1932">
        <f>SUMIFS(Титульный!$Q$69:$Q$292,Титульный!$K$69:$K$292,'КФО 4'!Q46,Титульный!$M$69:$M$292,'КФО 4'!S46,Титульный!$N$69:$N$292,T46)</f>
        <v>0</v>
      </c>
      <c r="P46" s="1933"/>
      <c r="Q46" s="898"/>
      <c r="R46" s="898"/>
      <c r="S46" s="898">
        <v>16561</v>
      </c>
      <c r="T46" s="898">
        <v>224</v>
      </c>
      <c r="U46" s="900"/>
      <c r="AA46" s="137">
        <f t="shared" si="1"/>
        <v>0</v>
      </c>
    </row>
    <row r="47" spans="1:30" s="122" customFormat="1" ht="27.75" customHeight="1">
      <c r="A47" s="218">
        <v>244</v>
      </c>
      <c r="B47" s="216"/>
      <c r="C47" s="1823" t="s">
        <v>240</v>
      </c>
      <c r="D47" s="1880"/>
      <c r="E47" s="1247"/>
      <c r="F47" s="1241">
        <f t="shared" si="2"/>
        <v>0</v>
      </c>
      <c r="G47" s="1882">
        <f>SUMIFS(Титульный!$O$69:$O$292,Титульный!$K$69:$K$292,'КФО 4'!Q47,Титульный!$M$69:$M$292,'КФО 4'!S47,Титульный!$N$69:$N$292,T47)</f>
        <v>0</v>
      </c>
      <c r="H47" s="1883"/>
      <c r="I47" s="1247"/>
      <c r="J47" s="1241">
        <f t="shared" si="3"/>
        <v>0</v>
      </c>
      <c r="K47" s="1638">
        <f>SUMIFS(Титульный!$P$69:$P$292,Титульный!$K$69:$K$292,'КФО 4'!Q47,Титульный!$M$69:$M$292,'КФО 4'!S47,Титульный!$N$69:$N$292,T47)</f>
        <v>0</v>
      </c>
      <c r="L47" s="1641"/>
      <c r="M47" s="1240"/>
      <c r="N47" s="1241">
        <f t="shared" si="4"/>
        <v>0</v>
      </c>
      <c r="O47" s="1638">
        <f>SUMIFS(Титульный!$Q$69:$Q$292,Титульный!$K$69:$K$292,'КФО 4'!Q47,Титульный!$M$69:$M$292,'КФО 4'!S47,Титульный!$N$69:$N$292,T47)</f>
        <v>0</v>
      </c>
      <c r="P47" s="1641"/>
      <c r="Q47" s="898">
        <v>4</v>
      </c>
      <c r="R47" s="898"/>
      <c r="S47" s="898">
        <v>30561</v>
      </c>
      <c r="T47" s="898">
        <v>224</v>
      </c>
      <c r="U47" s="900"/>
      <c r="AA47" s="137">
        <f t="shared" si="1"/>
        <v>0</v>
      </c>
    </row>
    <row r="48" spans="1:30" s="122" customFormat="1" ht="27.75" customHeight="1">
      <c r="A48" s="243">
        <v>244</v>
      </c>
      <c r="B48" s="252"/>
      <c r="C48" s="1903" t="s">
        <v>794</v>
      </c>
      <c r="D48" s="1796"/>
      <c r="E48" s="1250"/>
      <c r="F48" s="1251">
        <f t="shared" si="2"/>
        <v>0</v>
      </c>
      <c r="G48" s="1640">
        <f>G49-SUM(G46:H47)</f>
        <v>0</v>
      </c>
      <c r="H48" s="1642"/>
      <c r="I48" s="1250"/>
      <c r="J48" s="1251">
        <f t="shared" si="3"/>
        <v>0</v>
      </c>
      <c r="K48" s="1640">
        <f>K49-SUM(K46:L47)</f>
        <v>0</v>
      </c>
      <c r="L48" s="1642"/>
      <c r="M48" s="1250"/>
      <c r="N48" s="1251">
        <f t="shared" si="4"/>
        <v>0</v>
      </c>
      <c r="O48" s="1640">
        <f>O49-SUM(O46:P47)</f>
        <v>0</v>
      </c>
      <c r="P48" s="1642"/>
      <c r="Q48" s="898"/>
      <c r="R48" s="898"/>
      <c r="S48" s="898"/>
      <c r="T48" s="898"/>
      <c r="U48" s="900"/>
      <c r="AA48" s="137">
        <f t="shared" si="1"/>
        <v>0</v>
      </c>
    </row>
    <row r="49" spans="1:30" s="267" customFormat="1" ht="27.75" customHeight="1">
      <c r="A49" s="263"/>
      <c r="B49" s="264"/>
      <c r="C49" s="1897" t="s">
        <v>554</v>
      </c>
      <c r="D49" s="1898"/>
      <c r="E49" s="729" t="s">
        <v>412</v>
      </c>
      <c r="F49" s="730" t="s">
        <v>412</v>
      </c>
      <c r="G49" s="1678">
        <f>SUMIFS(Титульный!$O$69:$O$292,Титульный!$K$69:$K$292,'КФО 4'!$Q49,Титульный!$L$69:$L$292,'КФО 4'!$S49,Титульный!$N$69:$N$292,'КФО 4'!$T49)</f>
        <v>0</v>
      </c>
      <c r="H49" s="1679">
        <f>SUMIFS(Титульный!$O$69:$O$292,Титульный!$K$69:$K$292,'КФО 4'!$Q49,Титульный!$L$69:$L$292,'КФО 4'!$S49,Титульный!$N$69:$N$292,'КФО 4'!$T49)</f>
        <v>0</v>
      </c>
      <c r="I49" s="729" t="s">
        <v>412</v>
      </c>
      <c r="J49" s="730" t="s">
        <v>412</v>
      </c>
      <c r="K49" s="1900">
        <f>SUMIFS(Титульный!$P$69:$P$292,
Титульный!$K$69:$K$292,'КФО 4'!$Q49,
Титульный!$L$69:$L$292,'КФО 4'!$S49,
Титульный!$N$69:$N$292,'КФО 4'!$T49)</f>
        <v>0</v>
      </c>
      <c r="L49" s="1679">
        <f>SUMIFS(Титульный!$P$69:$P$292,
Титульный!$K$69:$K$292,'КФО 4'!$Q49,
Титульный!$L$69:$L$292,'КФО 4'!$S49,
Титульный!$N$69:$N$292,'КФО 4'!$T49)</f>
        <v>0</v>
      </c>
      <c r="M49" s="733" t="s">
        <v>412</v>
      </c>
      <c r="N49" s="730" t="s">
        <v>412</v>
      </c>
      <c r="O49" s="1900">
        <f>SUMIFS(Титульный!$Q$69:$Q$292,
Титульный!$K$69:$K$292,'КФО 4'!$Q49,
Титульный!$L$69:$L$292,'КФО 4'!$S49,
Титульный!$N$69:$N$292,'КФО 4'!$T49)</f>
        <v>0</v>
      </c>
      <c r="P49" s="1679">
        <f>SUMIFS(Титульный!$Q$69:$Q$292,
Титульный!$K$69:$K$292,'КФО 4'!$Q49,
Титульный!$L$69:$L$292,'КФО 4'!$S49,
Титульный!$N$69:$N$292,'КФО 4'!$T49)</f>
        <v>0</v>
      </c>
      <c r="Q49" s="898">
        <v>4</v>
      </c>
      <c r="R49" s="898"/>
      <c r="S49" s="898">
        <v>244</v>
      </c>
      <c r="T49" s="898">
        <v>224</v>
      </c>
      <c r="U49" s="898"/>
      <c r="AA49" s="137">
        <f t="shared" si="1"/>
        <v>0</v>
      </c>
    </row>
    <row r="50" spans="1:30" s="144" customFormat="1" ht="12" customHeight="1">
      <c r="B50" s="256"/>
      <c r="Q50" s="898"/>
      <c r="R50" s="898"/>
      <c r="S50" s="898"/>
      <c r="T50" s="898"/>
      <c r="U50" s="900"/>
      <c r="AA50" s="137">
        <f t="shared" si="1"/>
        <v>0</v>
      </c>
    </row>
    <row r="51" spans="1:30" s="144" customFormat="1" ht="12" hidden="1" customHeight="1">
      <c r="B51" s="256"/>
      <c r="Q51" s="898"/>
      <c r="R51" s="898"/>
      <c r="S51" s="898"/>
      <c r="T51" s="898"/>
      <c r="U51" s="900"/>
      <c r="AA51" s="137">
        <f t="shared" si="1"/>
        <v>0</v>
      </c>
    </row>
    <row r="52" spans="1:30" s="144" customFormat="1" ht="12" hidden="1" customHeight="1">
      <c r="B52" s="256"/>
      <c r="Q52" s="898"/>
      <c r="R52" s="898"/>
      <c r="S52" s="898"/>
      <c r="T52" s="898"/>
      <c r="U52" s="900"/>
      <c r="AA52" s="137">
        <f t="shared" si="1"/>
        <v>0</v>
      </c>
    </row>
    <row r="53" spans="1:30" s="215" customFormat="1" ht="27.75" customHeight="1">
      <c r="A53" s="1643" t="s">
        <v>577</v>
      </c>
      <c r="B53" s="1643"/>
      <c r="C53" s="1643"/>
      <c r="D53" s="1643"/>
      <c r="E53" s="1643"/>
      <c r="F53" s="1643"/>
      <c r="G53" s="1643"/>
      <c r="H53" s="1643"/>
      <c r="I53" s="1643"/>
      <c r="J53" s="1643"/>
      <c r="K53" s="1643"/>
      <c r="L53" s="1643"/>
      <c r="M53" s="1643"/>
      <c r="N53" s="1643"/>
      <c r="O53" s="1643"/>
      <c r="P53" s="1643"/>
      <c r="Q53" s="898"/>
      <c r="R53" s="898"/>
      <c r="S53" s="898"/>
      <c r="T53" s="898"/>
      <c r="U53" s="899"/>
      <c r="AA53" s="137">
        <f t="shared" si="1"/>
        <v>0</v>
      </c>
    </row>
    <row r="54" spans="1:30" s="144" customFormat="1" ht="12" customHeight="1">
      <c r="B54" s="256"/>
      <c r="Q54" s="898"/>
      <c r="R54" s="898"/>
      <c r="S54" s="898"/>
      <c r="T54" s="898"/>
      <c r="U54" s="900"/>
      <c r="AA54" s="137">
        <f t="shared" si="1"/>
        <v>0</v>
      </c>
    </row>
    <row r="55" spans="1:30" s="144" customFormat="1" ht="33" customHeight="1">
      <c r="A55" s="1687" t="s">
        <v>541</v>
      </c>
      <c r="B55" s="1651" t="s">
        <v>430</v>
      </c>
      <c r="C55" s="1892" t="s">
        <v>553</v>
      </c>
      <c r="D55" s="1696"/>
      <c r="E55" s="1858" t="s">
        <v>1114</v>
      </c>
      <c r="F55" s="1859"/>
      <c r="G55" s="1859"/>
      <c r="H55" s="1887"/>
      <c r="I55" s="1856" t="s">
        <v>1115</v>
      </c>
      <c r="J55" s="1854"/>
      <c r="K55" s="1854"/>
      <c r="L55" s="1855"/>
      <c r="M55" s="1853" t="s">
        <v>1116</v>
      </c>
      <c r="N55" s="1854"/>
      <c r="O55" s="1854"/>
      <c r="P55" s="1855"/>
      <c r="Q55" s="898"/>
      <c r="R55" s="898"/>
      <c r="S55" s="898"/>
      <c r="T55" s="898"/>
      <c r="U55" s="900"/>
      <c r="AA55" s="137">
        <f t="shared" si="1"/>
        <v>0</v>
      </c>
      <c r="AB55" s="137">
        <f>SUM(G58:G98)-SUBTOTAL(109,G58:G98)</f>
        <v>0</v>
      </c>
      <c r="AC55" s="137">
        <f>SUM(K58:L98)-SUBTOTAL(109,K58:L98)</f>
        <v>0</v>
      </c>
      <c r="AD55" s="137">
        <f>SUM(O58:P98)-SUBTOTAL(109,O58:P98)</f>
        <v>0</v>
      </c>
    </row>
    <row r="56" spans="1:30" s="144" customFormat="1" ht="38.25">
      <c r="A56" s="1688"/>
      <c r="B56" s="1684"/>
      <c r="C56" s="1893"/>
      <c r="D56" s="1894"/>
      <c r="E56" s="169" t="s">
        <v>578</v>
      </c>
      <c r="F56" s="171" t="s">
        <v>579</v>
      </c>
      <c r="G56" s="1838" t="s">
        <v>496</v>
      </c>
      <c r="H56" s="1839"/>
      <c r="I56" s="169" t="s">
        <v>578</v>
      </c>
      <c r="J56" s="171" t="s">
        <v>579</v>
      </c>
      <c r="K56" s="1838" t="s">
        <v>496</v>
      </c>
      <c r="L56" s="1839"/>
      <c r="M56" s="169" t="s">
        <v>578</v>
      </c>
      <c r="N56" s="171" t="s">
        <v>579</v>
      </c>
      <c r="O56" s="1838" t="s">
        <v>496</v>
      </c>
      <c r="P56" s="1839"/>
      <c r="Q56" s="898"/>
      <c r="R56" s="898"/>
      <c r="S56" s="898"/>
      <c r="T56" s="898"/>
      <c r="U56" s="900"/>
      <c r="W56" s="120"/>
      <c r="AA56" s="137">
        <f t="shared" si="1"/>
        <v>0</v>
      </c>
    </row>
    <row r="57" spans="1:30" s="144" customFormat="1">
      <c r="A57" s="153" t="s">
        <v>6</v>
      </c>
      <c r="B57" s="380" t="s">
        <v>7</v>
      </c>
      <c r="C57" s="1895" t="s">
        <v>8</v>
      </c>
      <c r="D57" s="1896"/>
      <c r="E57" s="187">
        <v>4</v>
      </c>
      <c r="F57" s="178">
        <v>5</v>
      </c>
      <c r="G57" s="1653" t="s">
        <v>716</v>
      </c>
      <c r="H57" s="1654"/>
      <c r="I57" s="187">
        <v>7</v>
      </c>
      <c r="J57" s="178">
        <v>8</v>
      </c>
      <c r="K57" s="1653" t="s">
        <v>717</v>
      </c>
      <c r="L57" s="1654"/>
      <c r="M57" s="187" t="s">
        <v>413</v>
      </c>
      <c r="N57" s="178" t="s">
        <v>418</v>
      </c>
      <c r="O57" s="1653" t="s">
        <v>499</v>
      </c>
      <c r="P57" s="1654"/>
      <c r="Q57" s="898"/>
      <c r="R57" s="898"/>
      <c r="S57" s="898"/>
      <c r="T57" s="898"/>
      <c r="U57" s="900"/>
      <c r="AA57" s="137">
        <f t="shared" si="1"/>
        <v>0</v>
      </c>
    </row>
    <row r="58" spans="1:30" s="122" customFormat="1" ht="45" customHeight="1">
      <c r="A58" s="680">
        <v>244</v>
      </c>
      <c r="B58" s="681"/>
      <c r="C58" s="1821" t="s">
        <v>903</v>
      </c>
      <c r="D58" s="1934"/>
      <c r="E58" s="845"/>
      <c r="F58" s="1249">
        <f t="shared" ref="F58:F65" si="5">IFERROR(ROUND(G58/E58,2),0)</f>
        <v>0</v>
      </c>
      <c r="G58" s="1935">
        <f>SUMIFS(Титульный!$O$69:$O$292,Титульный!$M$69:$M$292,'КФО 4'!Q58,Титульный!$N$69:$N$292,R58)</f>
        <v>345443.5</v>
      </c>
      <c r="H58" s="1936"/>
      <c r="I58" s="845"/>
      <c r="J58" s="1249">
        <f t="shared" ref="J58:J97" si="6">IFERROR(ROUND(K58/I58,2),0)</f>
        <v>0</v>
      </c>
      <c r="K58" s="1935">
        <f>SUMIFS(Титульный!$P$69:$P$292,Титульный!$M$69:$M$292,'КФО 4'!Q58,Титульный!$N$69:$N$292,R58)</f>
        <v>325250</v>
      </c>
      <c r="L58" s="1936"/>
      <c r="M58" s="845"/>
      <c r="N58" s="1249">
        <f t="shared" ref="N58:N97" si="7">IFERROR(ROUND(O58/M58,2),0)</f>
        <v>0</v>
      </c>
      <c r="O58" s="1935">
        <f>SUMIFS(Титульный!$Q$69:$Q$292,Титульный!$M$69:$M$292,'КФО 4'!Q58,Титульный!$N$69:$N$292,R58)</f>
        <v>325250</v>
      </c>
      <c r="P58" s="1936"/>
      <c r="Q58" s="901">
        <v>19561</v>
      </c>
      <c r="R58" s="901">
        <v>225</v>
      </c>
      <c r="S58" s="903" t="s">
        <v>277</v>
      </c>
      <c r="T58" s="898"/>
      <c r="U58" s="900"/>
      <c r="AA58" s="137">
        <f t="shared" si="1"/>
        <v>0</v>
      </c>
    </row>
    <row r="59" spans="1:30" s="122" customFormat="1" ht="27.75" customHeight="1">
      <c r="A59" s="218">
        <v>244</v>
      </c>
      <c r="B59" s="217"/>
      <c r="C59" s="1823" t="s">
        <v>633</v>
      </c>
      <c r="D59" s="1891"/>
      <c r="E59" s="1247"/>
      <c r="F59" s="1241">
        <f t="shared" si="5"/>
        <v>0</v>
      </c>
      <c r="G59" s="1882">
        <f>SUMIFS(Титульный!$O$69:$O$292,Титульный!$M$69:$M$292,'КФО 4'!Q59,Титульный!$N$69:$N$292,R59)</f>
        <v>49830.28</v>
      </c>
      <c r="H59" s="1883"/>
      <c r="I59" s="1247"/>
      <c r="J59" s="1241">
        <f t="shared" si="6"/>
        <v>0</v>
      </c>
      <c r="K59" s="1882">
        <f>SUMIFS(Титульный!$P$69:$P$292,Титульный!$M$69:$M$292,'КФО 4'!Q59,Титульный!$N$69:$N$292,R59)</f>
        <v>36000</v>
      </c>
      <c r="L59" s="1883"/>
      <c r="M59" s="1247"/>
      <c r="N59" s="1241">
        <f t="shared" si="7"/>
        <v>0</v>
      </c>
      <c r="O59" s="1882">
        <f>SUMIFS(Титульный!$Q$69:$Q$292,Титульный!$M$69:$M$292,'КФО 4'!Q59,Титульный!$N$69:$N$292,R59)</f>
        <v>36000</v>
      </c>
      <c r="P59" s="1883"/>
      <c r="Q59" s="901">
        <v>34563</v>
      </c>
      <c r="R59" s="901">
        <v>225</v>
      </c>
      <c r="S59" s="903" t="s">
        <v>790</v>
      </c>
      <c r="T59" s="898"/>
      <c r="U59" s="889"/>
      <c r="AA59" s="137">
        <f t="shared" si="1"/>
        <v>0</v>
      </c>
    </row>
    <row r="60" spans="1:30" s="122" customFormat="1" ht="27.75" customHeight="1">
      <c r="A60" s="218">
        <v>244</v>
      </c>
      <c r="B60" s="217"/>
      <c r="C60" s="1823" t="s">
        <v>641</v>
      </c>
      <c r="D60" s="1891"/>
      <c r="E60" s="1247"/>
      <c r="F60" s="1241">
        <f t="shared" si="5"/>
        <v>0</v>
      </c>
      <c r="G60" s="1882">
        <f>SUMIFS(Титульный!$O$69:$O$292,Титульный!$M$69:$M$292,'КФО 4'!Q60,Титульный!$N$69:$N$292,R60)</f>
        <v>127509</v>
      </c>
      <c r="H60" s="1883"/>
      <c r="I60" s="1247"/>
      <c r="J60" s="1241">
        <f t="shared" si="6"/>
        <v>0</v>
      </c>
      <c r="K60" s="1882">
        <f>SUMIFS(Титульный!$P$69:$P$292,Титульный!$M$69:$M$292,'КФО 4'!Q60,Титульный!$N$69:$N$292,R60)</f>
        <v>122410</v>
      </c>
      <c r="L60" s="1883"/>
      <c r="M60" s="1247"/>
      <c r="N60" s="1241">
        <f t="shared" si="7"/>
        <v>0</v>
      </c>
      <c r="O60" s="1882">
        <f>SUMIFS(Титульный!$Q$69:$Q$292,Титульный!$M$69:$M$292,'КФО 4'!Q60,Титульный!$N$69:$N$292,R60)</f>
        <v>122410</v>
      </c>
      <c r="P60" s="1883"/>
      <c r="Q60" s="901">
        <v>34564</v>
      </c>
      <c r="R60" s="901">
        <v>225</v>
      </c>
      <c r="S60" s="903" t="s">
        <v>791</v>
      </c>
      <c r="T60" s="898"/>
      <c r="U60" s="900"/>
      <c r="AA60" s="137">
        <f t="shared" si="1"/>
        <v>0</v>
      </c>
    </row>
    <row r="61" spans="1:30" s="122" customFormat="1" ht="27.75" customHeight="1">
      <c r="A61" s="218">
        <v>244</v>
      </c>
      <c r="B61" s="217"/>
      <c r="C61" s="1823" t="s">
        <v>640</v>
      </c>
      <c r="D61" s="1891"/>
      <c r="E61" s="1247"/>
      <c r="F61" s="1241">
        <f t="shared" si="5"/>
        <v>0</v>
      </c>
      <c r="G61" s="1882">
        <f>SUMIFS(Титульный!$O$69:$O$292,Титульный!$M$69:$M$292,'КФО 4'!Q61,Титульный!$N$69:$N$292,R61)</f>
        <v>162960</v>
      </c>
      <c r="H61" s="1883"/>
      <c r="I61" s="1247"/>
      <c r="J61" s="1241">
        <f t="shared" si="6"/>
        <v>0</v>
      </c>
      <c r="K61" s="1882">
        <f>SUMIFS(Титульный!$P$69:$P$292,Титульный!$M$69:$M$292,'КФО 4'!Q61,Титульный!$N$69:$N$292,R61)</f>
        <v>162960</v>
      </c>
      <c r="L61" s="1883"/>
      <c r="M61" s="1247"/>
      <c r="N61" s="1241">
        <f t="shared" si="7"/>
        <v>0</v>
      </c>
      <c r="O61" s="1882">
        <f>SUMIFS(Титульный!$Q$69:$Q$292,Титульный!$M$69:$M$292,'КФО 4'!Q61,Титульный!$N$69:$N$292,R61)</f>
        <v>162960</v>
      </c>
      <c r="P61" s="1883"/>
      <c r="Q61" s="901">
        <v>34565</v>
      </c>
      <c r="R61" s="901">
        <v>225</v>
      </c>
      <c r="S61" s="903" t="s">
        <v>792</v>
      </c>
      <c r="T61" s="898"/>
      <c r="U61" s="900"/>
      <c r="AA61" s="137">
        <f t="shared" si="1"/>
        <v>0</v>
      </c>
    </row>
    <row r="62" spans="1:30" s="122" customFormat="1" ht="27.75" customHeight="1">
      <c r="A62" s="218">
        <v>244</v>
      </c>
      <c r="B62" s="217"/>
      <c r="C62" s="1823" t="s">
        <v>647</v>
      </c>
      <c r="D62" s="1891"/>
      <c r="E62" s="1247"/>
      <c r="F62" s="1241">
        <f t="shared" si="5"/>
        <v>0</v>
      </c>
      <c r="G62" s="1882">
        <f>SUMIFS(Титульный!$O$69:$O$292,Титульный!$M$69:$M$292,'КФО 4'!Q62,Титульный!$N$69:$N$292,R62)</f>
        <v>20300</v>
      </c>
      <c r="H62" s="1883"/>
      <c r="I62" s="1247"/>
      <c r="J62" s="1241">
        <f t="shared" si="6"/>
        <v>0</v>
      </c>
      <c r="K62" s="1882">
        <f>SUMIFS(Титульный!$P$69:$P$292,Титульный!$M$69:$M$292,'КФО 4'!Q62,Титульный!$N$69:$N$292,R62)</f>
        <v>20300</v>
      </c>
      <c r="L62" s="1883"/>
      <c r="M62" s="1247"/>
      <c r="N62" s="1241">
        <f t="shared" si="7"/>
        <v>0</v>
      </c>
      <c r="O62" s="1882">
        <f>SUMIFS(Титульный!$Q$69:$Q$292,Титульный!$M$69:$M$292,'КФО 4'!Q62,Титульный!$N$69:$N$292,R62)</f>
        <v>20300</v>
      </c>
      <c r="P62" s="1883"/>
      <c r="Q62" s="901">
        <v>34566</v>
      </c>
      <c r="R62" s="901">
        <v>225</v>
      </c>
      <c r="S62" s="903" t="s">
        <v>795</v>
      </c>
      <c r="T62" s="898"/>
      <c r="U62" s="900"/>
      <c r="AA62" s="137">
        <f t="shared" si="1"/>
        <v>0</v>
      </c>
    </row>
    <row r="63" spans="1:30" s="122" customFormat="1" ht="27.75" customHeight="1">
      <c r="A63" s="218">
        <v>244</v>
      </c>
      <c r="B63" s="217"/>
      <c r="C63" s="1823" t="s">
        <v>632</v>
      </c>
      <c r="D63" s="1891"/>
      <c r="E63" s="1247"/>
      <c r="F63" s="1241">
        <f t="shared" si="5"/>
        <v>0</v>
      </c>
      <c r="G63" s="1882">
        <f>SUMIFS(Титульный!$O$69:$O$292,Титульный!$M$69:$M$292,'КФО 4'!Q63,Титульный!$N$69:$N$292,R63)</f>
        <v>234000</v>
      </c>
      <c r="H63" s="1883"/>
      <c r="I63" s="1247"/>
      <c r="J63" s="1241">
        <f t="shared" si="6"/>
        <v>0</v>
      </c>
      <c r="K63" s="1882">
        <f>SUMIFS(Титульный!$P$69:$P$292,Титульный!$M$69:$M$292,'КФО 4'!Q63,Титульный!$N$69:$N$292,R63)</f>
        <v>234000</v>
      </c>
      <c r="L63" s="1883"/>
      <c r="M63" s="1247"/>
      <c r="N63" s="1241">
        <f t="shared" si="7"/>
        <v>0</v>
      </c>
      <c r="O63" s="1882">
        <f>SUMIFS(Титульный!$Q$69:$Q$292,Титульный!$M$69:$M$292,'КФО 4'!Q63,Титульный!$N$69:$N$292,R63)</f>
        <v>234000</v>
      </c>
      <c r="P63" s="1883"/>
      <c r="Q63" s="901">
        <v>34567</v>
      </c>
      <c r="R63" s="901">
        <v>225</v>
      </c>
      <c r="S63" s="903" t="s">
        <v>793</v>
      </c>
      <c r="T63" s="898"/>
      <c r="U63" s="889"/>
      <c r="AA63" s="137">
        <f t="shared" si="1"/>
        <v>0</v>
      </c>
    </row>
    <row r="64" spans="1:30" s="122" customFormat="1" ht="27.75" customHeight="1">
      <c r="A64" s="218">
        <v>244</v>
      </c>
      <c r="B64" s="217"/>
      <c r="C64" s="1823" t="s">
        <v>622</v>
      </c>
      <c r="D64" s="1891"/>
      <c r="E64" s="1247"/>
      <c r="F64" s="1241">
        <f t="shared" si="5"/>
        <v>0</v>
      </c>
      <c r="G64" s="1882">
        <f>SUMIFS(Титульный!$O$69:$O$292,Титульный!$M$69:$M$292,'КФО 4'!Q64,Титульный!$N$69:$N$292,R64)</f>
        <v>237148</v>
      </c>
      <c r="H64" s="1883"/>
      <c r="I64" s="1247"/>
      <c r="J64" s="1241">
        <f t="shared" si="6"/>
        <v>0</v>
      </c>
      <c r="K64" s="1882">
        <f>SUMIFS(Титульный!$P$69:$P$292,Титульный!$M$69:$M$292,'КФО 4'!Q64,Титульный!$N$69:$N$292,R64)</f>
        <v>134550</v>
      </c>
      <c r="L64" s="1883"/>
      <c r="M64" s="1247"/>
      <c r="N64" s="1241">
        <f t="shared" si="7"/>
        <v>0</v>
      </c>
      <c r="O64" s="1882">
        <f>SUMIFS(Титульный!$Q$69:$Q$292,Титульный!$M$69:$M$292,'КФО 4'!Q64,Титульный!$N$69:$N$292,R64)</f>
        <v>134550</v>
      </c>
      <c r="P64" s="1883"/>
      <c r="Q64" s="901">
        <v>35561</v>
      </c>
      <c r="R64" s="901">
        <v>225</v>
      </c>
      <c r="S64" s="903" t="s">
        <v>595</v>
      </c>
      <c r="T64" s="898"/>
      <c r="U64" s="900"/>
      <c r="W64" s="684">
        <v>16561</v>
      </c>
      <c r="AA64" s="137">
        <f t="shared" si="1"/>
        <v>0</v>
      </c>
    </row>
    <row r="65" spans="1:27" s="122" customFormat="1" ht="27.75" customHeight="1" thickBot="1">
      <c r="A65" s="682">
        <v>244</v>
      </c>
      <c r="B65" s="683"/>
      <c r="C65" s="1939" t="s">
        <v>854</v>
      </c>
      <c r="D65" s="1940"/>
      <c r="E65" s="848"/>
      <c r="F65" s="746">
        <f t="shared" si="5"/>
        <v>0</v>
      </c>
      <c r="G65" s="1941">
        <f>SUMIFS(Титульный!$O$69:$O$292,Титульный!$M$69:$M$292,'КФО 4'!Q65,Титульный!$N$69:$N$292,R65)</f>
        <v>0</v>
      </c>
      <c r="H65" s="1942"/>
      <c r="I65" s="848"/>
      <c r="J65" s="746">
        <f t="shared" si="6"/>
        <v>0</v>
      </c>
      <c r="K65" s="1941">
        <f>SUMIFS(Титульный!$P$69:$P$292,Титульный!$M$69:$M$292,'КФО 4'!Q65,Титульный!$N$69:$N$292,R65)</f>
        <v>0</v>
      </c>
      <c r="L65" s="1942"/>
      <c r="M65" s="848"/>
      <c r="N65" s="746">
        <f t="shared" si="7"/>
        <v>0</v>
      </c>
      <c r="O65" s="1941">
        <f>SUMIFS(Титульный!$Q$69:$Q$292,Титульный!$M$69:$M$292,'КФО 4'!Q65,Титульный!$N$69:$N$292,R65)</f>
        <v>0</v>
      </c>
      <c r="P65" s="1942"/>
      <c r="Q65" s="901">
        <v>37561</v>
      </c>
      <c r="R65" s="901">
        <v>225</v>
      </c>
      <c r="S65" s="903" t="s">
        <v>853</v>
      </c>
      <c r="T65" s="898"/>
      <c r="U65" s="900"/>
      <c r="AA65" s="137">
        <f t="shared" si="1"/>
        <v>0</v>
      </c>
    </row>
    <row r="66" spans="1:27" s="122" customFormat="1" ht="27.75" customHeight="1" thickTop="1">
      <c r="A66" s="236">
        <v>244</v>
      </c>
      <c r="B66" s="247"/>
      <c r="C66" s="1810" t="s">
        <v>623</v>
      </c>
      <c r="D66" s="1914"/>
      <c r="E66" s="350"/>
      <c r="F66" s="1243">
        <f t="shared" ref="F66:F97" si="8">IFERROR(ROUND(G66/E66,2),0)</f>
        <v>0</v>
      </c>
      <c r="G66" s="1882"/>
      <c r="H66" s="1883"/>
      <c r="I66" s="350"/>
      <c r="J66" s="1243">
        <f t="shared" si="6"/>
        <v>0</v>
      </c>
      <c r="K66" s="1937"/>
      <c r="L66" s="1938"/>
      <c r="M66" s="350"/>
      <c r="N66" s="1243">
        <f t="shared" si="7"/>
        <v>0</v>
      </c>
      <c r="O66" s="1882"/>
      <c r="P66" s="1883"/>
      <c r="Q66" s="898"/>
      <c r="R66" s="898"/>
      <c r="S66" s="898"/>
      <c r="T66" s="898"/>
      <c r="U66" s="900"/>
      <c r="AA66" s="137">
        <f t="shared" si="1"/>
        <v>0</v>
      </c>
    </row>
    <row r="67" spans="1:27" s="122" customFormat="1" ht="27.75" customHeight="1">
      <c r="A67" s="218">
        <v>244</v>
      </c>
      <c r="B67" s="217"/>
      <c r="C67" s="1823" t="s">
        <v>624</v>
      </c>
      <c r="D67" s="1891"/>
      <c r="E67" s="1247"/>
      <c r="F67" s="1241">
        <f t="shared" si="8"/>
        <v>0</v>
      </c>
      <c r="G67" s="1882"/>
      <c r="H67" s="1883"/>
      <c r="I67" s="1247"/>
      <c r="J67" s="1241">
        <f t="shared" si="6"/>
        <v>0</v>
      </c>
      <c r="K67" s="1882"/>
      <c r="L67" s="1883"/>
      <c r="M67" s="1247"/>
      <c r="N67" s="1241">
        <f t="shared" si="7"/>
        <v>0</v>
      </c>
      <c r="O67" s="1882"/>
      <c r="P67" s="1883"/>
      <c r="Q67" s="898"/>
      <c r="R67" s="898"/>
      <c r="S67" s="898"/>
      <c r="T67" s="898"/>
      <c r="U67" s="900"/>
      <c r="AA67" s="137">
        <f t="shared" si="1"/>
        <v>0</v>
      </c>
    </row>
    <row r="68" spans="1:27" s="122" customFormat="1" ht="27.75" customHeight="1">
      <c r="A68" s="218">
        <v>244</v>
      </c>
      <c r="B68" s="217"/>
      <c r="C68" s="1823" t="s">
        <v>625</v>
      </c>
      <c r="D68" s="1891"/>
      <c r="E68" s="1247"/>
      <c r="F68" s="1241">
        <f t="shared" si="8"/>
        <v>0</v>
      </c>
      <c r="G68" s="1882"/>
      <c r="H68" s="1883"/>
      <c r="I68" s="1247"/>
      <c r="J68" s="1241">
        <f t="shared" si="6"/>
        <v>0</v>
      </c>
      <c r="K68" s="1882"/>
      <c r="L68" s="1883"/>
      <c r="M68" s="1247"/>
      <c r="N68" s="1241">
        <f t="shared" si="7"/>
        <v>0</v>
      </c>
      <c r="O68" s="1882"/>
      <c r="P68" s="1883"/>
      <c r="Q68" s="898"/>
      <c r="R68" s="898"/>
      <c r="S68" s="898"/>
      <c r="T68" s="898"/>
      <c r="U68" s="900"/>
      <c r="AA68" s="137">
        <f t="shared" si="1"/>
        <v>0</v>
      </c>
    </row>
    <row r="69" spans="1:27" s="122" customFormat="1" ht="27.75" customHeight="1">
      <c r="A69" s="218">
        <v>244</v>
      </c>
      <c r="B69" s="217"/>
      <c r="C69" s="1823" t="s">
        <v>1111</v>
      </c>
      <c r="D69" s="1891"/>
      <c r="E69" s="1247"/>
      <c r="F69" s="1241">
        <f t="shared" si="8"/>
        <v>0</v>
      </c>
      <c r="G69" s="1882"/>
      <c r="H69" s="1883"/>
      <c r="I69" s="1247"/>
      <c r="J69" s="1241">
        <f t="shared" si="6"/>
        <v>0</v>
      </c>
      <c r="K69" s="1882"/>
      <c r="L69" s="1883"/>
      <c r="M69" s="1247"/>
      <c r="N69" s="1241">
        <f t="shared" si="7"/>
        <v>0</v>
      </c>
      <c r="O69" s="1882"/>
      <c r="P69" s="1883"/>
      <c r="Q69" s="898"/>
      <c r="R69" s="898"/>
      <c r="S69" s="898"/>
      <c r="T69" s="898"/>
      <c r="U69" s="900"/>
      <c r="AA69" s="137">
        <f t="shared" ref="AA69:AA96" si="9">SUM(AB69:BD69)</f>
        <v>0</v>
      </c>
    </row>
    <row r="70" spans="1:27" s="122" customFormat="1" ht="27.75" customHeight="1">
      <c r="A70" s="218">
        <v>244</v>
      </c>
      <c r="B70" s="217"/>
      <c r="C70" s="1823" t="s">
        <v>626</v>
      </c>
      <c r="D70" s="1891"/>
      <c r="E70" s="1247"/>
      <c r="F70" s="1241">
        <f t="shared" si="8"/>
        <v>0</v>
      </c>
      <c r="G70" s="1882"/>
      <c r="H70" s="1883"/>
      <c r="I70" s="1247"/>
      <c r="J70" s="1241">
        <f t="shared" si="6"/>
        <v>0</v>
      </c>
      <c r="K70" s="1882"/>
      <c r="L70" s="1883"/>
      <c r="M70" s="1247"/>
      <c r="N70" s="1241">
        <f t="shared" si="7"/>
        <v>0</v>
      </c>
      <c r="O70" s="1882"/>
      <c r="P70" s="1883"/>
      <c r="Q70" s="898"/>
      <c r="R70" s="898"/>
      <c r="S70" s="898"/>
      <c r="T70" s="898"/>
      <c r="U70" s="900"/>
      <c r="AA70" s="137">
        <f t="shared" si="9"/>
        <v>0</v>
      </c>
    </row>
    <row r="71" spans="1:27" s="122" customFormat="1" ht="27.75" customHeight="1">
      <c r="A71" s="218">
        <v>244</v>
      </c>
      <c r="B71" s="217"/>
      <c r="C71" s="1823" t="s">
        <v>627</v>
      </c>
      <c r="D71" s="1891"/>
      <c r="E71" s="1247"/>
      <c r="F71" s="1241">
        <f t="shared" si="8"/>
        <v>0</v>
      </c>
      <c r="G71" s="1882"/>
      <c r="H71" s="1883"/>
      <c r="I71" s="1247"/>
      <c r="J71" s="1241">
        <f t="shared" si="6"/>
        <v>0</v>
      </c>
      <c r="K71" s="1882"/>
      <c r="L71" s="1883"/>
      <c r="M71" s="1247"/>
      <c r="N71" s="1241">
        <f t="shared" si="7"/>
        <v>0</v>
      </c>
      <c r="O71" s="1882"/>
      <c r="P71" s="1883"/>
      <c r="Q71" s="898"/>
      <c r="R71" s="898"/>
      <c r="S71" s="898"/>
      <c r="T71" s="898"/>
      <c r="U71" s="900"/>
      <c r="AA71" s="137">
        <f t="shared" si="9"/>
        <v>0</v>
      </c>
    </row>
    <row r="72" spans="1:27" s="122" customFormat="1" ht="27.75" customHeight="1">
      <c r="A72" s="218">
        <v>244</v>
      </c>
      <c r="B72" s="217"/>
      <c r="C72" s="1823" t="s">
        <v>628</v>
      </c>
      <c r="D72" s="1891"/>
      <c r="E72" s="1247"/>
      <c r="F72" s="1241">
        <f t="shared" si="8"/>
        <v>0</v>
      </c>
      <c r="G72" s="1882"/>
      <c r="H72" s="1883"/>
      <c r="I72" s="1247"/>
      <c r="J72" s="1241">
        <f t="shared" si="6"/>
        <v>0</v>
      </c>
      <c r="K72" s="1882"/>
      <c r="L72" s="1883"/>
      <c r="M72" s="1247"/>
      <c r="N72" s="1241">
        <f t="shared" si="7"/>
        <v>0</v>
      </c>
      <c r="O72" s="1882"/>
      <c r="P72" s="1883"/>
      <c r="Q72" s="898"/>
      <c r="R72" s="898"/>
      <c r="S72" s="898"/>
      <c r="T72" s="898"/>
      <c r="U72" s="900"/>
      <c r="AA72" s="137">
        <f t="shared" si="9"/>
        <v>0</v>
      </c>
    </row>
    <row r="73" spans="1:27" s="122" customFormat="1" ht="27.75" customHeight="1">
      <c r="A73" s="218">
        <v>244</v>
      </c>
      <c r="B73" s="217"/>
      <c r="C73" s="1823" t="s">
        <v>629</v>
      </c>
      <c r="D73" s="1891"/>
      <c r="E73" s="1247"/>
      <c r="F73" s="1241">
        <f t="shared" si="8"/>
        <v>0</v>
      </c>
      <c r="G73" s="1882"/>
      <c r="H73" s="1883"/>
      <c r="I73" s="1247"/>
      <c r="J73" s="1241">
        <f t="shared" si="6"/>
        <v>0</v>
      </c>
      <c r="K73" s="1937"/>
      <c r="L73" s="1938"/>
      <c r="M73" s="1247"/>
      <c r="N73" s="1241">
        <f t="shared" si="7"/>
        <v>0</v>
      </c>
      <c r="O73" s="1882"/>
      <c r="P73" s="1883"/>
      <c r="Q73" s="898"/>
      <c r="R73" s="898"/>
      <c r="S73" s="898"/>
      <c r="T73" s="898"/>
      <c r="U73" s="889"/>
      <c r="AA73" s="137">
        <f t="shared" si="9"/>
        <v>0</v>
      </c>
    </row>
    <row r="74" spans="1:27" s="122" customFormat="1" ht="27.75" customHeight="1">
      <c r="A74" s="218">
        <v>244</v>
      </c>
      <c r="B74" s="217"/>
      <c r="C74" s="1823" t="s">
        <v>630</v>
      </c>
      <c r="D74" s="1891"/>
      <c r="E74" s="1247"/>
      <c r="F74" s="1241">
        <f t="shared" si="8"/>
        <v>0</v>
      </c>
      <c r="G74" s="1882"/>
      <c r="H74" s="1883"/>
      <c r="I74" s="1247"/>
      <c r="J74" s="1241">
        <f t="shared" si="6"/>
        <v>0</v>
      </c>
      <c r="K74" s="1937"/>
      <c r="L74" s="1938"/>
      <c r="M74" s="1247"/>
      <c r="N74" s="1241">
        <f t="shared" si="7"/>
        <v>0</v>
      </c>
      <c r="O74" s="1882"/>
      <c r="P74" s="1883"/>
      <c r="Q74" s="898"/>
      <c r="R74" s="898"/>
      <c r="S74" s="898"/>
      <c r="T74" s="898"/>
      <c r="U74" s="889"/>
      <c r="AA74" s="137">
        <f t="shared" si="9"/>
        <v>0</v>
      </c>
    </row>
    <row r="75" spans="1:27" s="122" customFormat="1" ht="27.75" customHeight="1">
      <c r="A75" s="218">
        <v>244</v>
      </c>
      <c r="B75" s="217"/>
      <c r="C75" s="1823" t="s">
        <v>631</v>
      </c>
      <c r="D75" s="1891"/>
      <c r="E75" s="1247"/>
      <c r="F75" s="1241">
        <f t="shared" si="8"/>
        <v>0</v>
      </c>
      <c r="G75" s="1882"/>
      <c r="H75" s="1883"/>
      <c r="I75" s="1247"/>
      <c r="J75" s="1241">
        <f t="shared" si="6"/>
        <v>0</v>
      </c>
      <c r="K75" s="1937"/>
      <c r="L75" s="1938"/>
      <c r="M75" s="1247"/>
      <c r="N75" s="1241">
        <f t="shared" si="7"/>
        <v>0</v>
      </c>
      <c r="O75" s="1882"/>
      <c r="P75" s="1883"/>
      <c r="Q75" s="898"/>
      <c r="R75" s="898"/>
      <c r="S75" s="898"/>
      <c r="T75" s="898"/>
      <c r="U75" s="889"/>
      <c r="AA75" s="137">
        <f t="shared" si="9"/>
        <v>0</v>
      </c>
    </row>
    <row r="76" spans="1:27" s="122" customFormat="1" ht="27.75" customHeight="1">
      <c r="A76" s="218">
        <v>244</v>
      </c>
      <c r="B76" s="217"/>
      <c r="C76" s="1823" t="s">
        <v>635</v>
      </c>
      <c r="D76" s="1891"/>
      <c r="E76" s="1247"/>
      <c r="F76" s="1241">
        <f t="shared" si="8"/>
        <v>0</v>
      </c>
      <c r="G76" s="1882"/>
      <c r="H76" s="1883"/>
      <c r="I76" s="1247"/>
      <c r="J76" s="1241">
        <f t="shared" si="6"/>
        <v>0</v>
      </c>
      <c r="K76" s="1937"/>
      <c r="L76" s="1938"/>
      <c r="M76" s="1247"/>
      <c r="N76" s="1241">
        <f t="shared" si="7"/>
        <v>0</v>
      </c>
      <c r="O76" s="1882"/>
      <c r="P76" s="1883"/>
      <c r="Q76" s="898"/>
      <c r="R76" s="898"/>
      <c r="S76" s="898"/>
      <c r="T76" s="898"/>
      <c r="U76" s="889"/>
      <c r="AA76" s="137">
        <f t="shared" si="9"/>
        <v>0</v>
      </c>
    </row>
    <row r="77" spans="1:27" s="122" customFormat="1" ht="27.75" customHeight="1">
      <c r="A77" s="218">
        <v>244</v>
      </c>
      <c r="B77" s="217"/>
      <c r="C77" s="1823" t="s">
        <v>636</v>
      </c>
      <c r="D77" s="1891"/>
      <c r="E77" s="1247"/>
      <c r="F77" s="1241">
        <f t="shared" si="8"/>
        <v>0</v>
      </c>
      <c r="G77" s="1882"/>
      <c r="H77" s="1883"/>
      <c r="I77" s="1247"/>
      <c r="J77" s="1241">
        <f t="shared" si="6"/>
        <v>0</v>
      </c>
      <c r="K77" s="1937"/>
      <c r="L77" s="1938"/>
      <c r="M77" s="1247"/>
      <c r="N77" s="1241">
        <f t="shared" si="7"/>
        <v>0</v>
      </c>
      <c r="O77" s="1882"/>
      <c r="P77" s="1883"/>
      <c r="Q77" s="898"/>
      <c r="R77" s="898"/>
      <c r="S77" s="898"/>
      <c r="T77" s="898"/>
      <c r="U77" s="900"/>
      <c r="AA77" s="137">
        <f t="shared" si="9"/>
        <v>0</v>
      </c>
    </row>
    <row r="78" spans="1:27" s="122" customFormat="1" ht="27.75" customHeight="1">
      <c r="A78" s="218">
        <v>244</v>
      </c>
      <c r="B78" s="217"/>
      <c r="C78" s="1823" t="s">
        <v>637</v>
      </c>
      <c r="D78" s="1891"/>
      <c r="E78" s="1247"/>
      <c r="F78" s="1241">
        <f t="shared" si="8"/>
        <v>0</v>
      </c>
      <c r="G78" s="1882"/>
      <c r="H78" s="1883"/>
      <c r="I78" s="1247"/>
      <c r="J78" s="1241">
        <f t="shared" si="6"/>
        <v>0</v>
      </c>
      <c r="K78" s="1882"/>
      <c r="L78" s="1883"/>
      <c r="M78" s="1247"/>
      <c r="N78" s="1241">
        <f t="shared" si="7"/>
        <v>0</v>
      </c>
      <c r="O78" s="1882"/>
      <c r="P78" s="1883"/>
      <c r="Q78" s="898"/>
      <c r="R78" s="898"/>
      <c r="S78" s="898"/>
      <c r="T78" s="898"/>
      <c r="U78" s="900"/>
      <c r="AA78" s="137">
        <f t="shared" si="9"/>
        <v>0</v>
      </c>
    </row>
    <row r="79" spans="1:27" s="122" customFormat="1" ht="27.75" customHeight="1">
      <c r="A79" s="218">
        <v>244</v>
      </c>
      <c r="B79" s="217"/>
      <c r="C79" s="1823" t="s">
        <v>638</v>
      </c>
      <c r="D79" s="1891"/>
      <c r="E79" s="1247"/>
      <c r="F79" s="1241">
        <f t="shared" si="8"/>
        <v>0</v>
      </c>
      <c r="G79" s="1882"/>
      <c r="H79" s="1883"/>
      <c r="I79" s="1247"/>
      <c r="J79" s="1241">
        <f t="shared" si="6"/>
        <v>0</v>
      </c>
      <c r="K79" s="1882"/>
      <c r="L79" s="1883"/>
      <c r="M79" s="1247"/>
      <c r="N79" s="1241">
        <f t="shared" si="7"/>
        <v>0</v>
      </c>
      <c r="O79" s="1882"/>
      <c r="P79" s="1883"/>
      <c r="Q79" s="898"/>
      <c r="R79" s="898"/>
      <c r="S79" s="898"/>
      <c r="T79" s="898"/>
      <c r="U79" s="900"/>
      <c r="AA79" s="137">
        <f t="shared" si="9"/>
        <v>0</v>
      </c>
    </row>
    <row r="80" spans="1:27" s="122" customFormat="1" ht="27.75" customHeight="1">
      <c r="A80" s="218">
        <v>244</v>
      </c>
      <c r="B80" s="217"/>
      <c r="C80" s="1823" t="s">
        <v>639</v>
      </c>
      <c r="D80" s="1891"/>
      <c r="E80" s="1247"/>
      <c r="F80" s="1241">
        <f t="shared" si="8"/>
        <v>0</v>
      </c>
      <c r="G80" s="1882"/>
      <c r="H80" s="1883"/>
      <c r="I80" s="1247"/>
      <c r="J80" s="1241">
        <f t="shared" si="6"/>
        <v>0</v>
      </c>
      <c r="K80" s="1882"/>
      <c r="L80" s="1883"/>
      <c r="M80" s="1247"/>
      <c r="N80" s="1241">
        <f t="shared" si="7"/>
        <v>0</v>
      </c>
      <c r="O80" s="1882"/>
      <c r="P80" s="1883"/>
      <c r="Q80" s="898"/>
      <c r="R80" s="898"/>
      <c r="S80" s="898"/>
      <c r="T80" s="898"/>
      <c r="U80" s="900"/>
      <c r="AA80" s="137">
        <f t="shared" si="9"/>
        <v>0</v>
      </c>
    </row>
    <row r="81" spans="1:27" s="122" customFormat="1" ht="27.75" customHeight="1">
      <c r="A81" s="218">
        <v>244</v>
      </c>
      <c r="B81" s="217"/>
      <c r="C81" s="1823" t="s">
        <v>642</v>
      </c>
      <c r="D81" s="1891"/>
      <c r="E81" s="1247"/>
      <c r="F81" s="1241">
        <f t="shared" si="8"/>
        <v>0</v>
      </c>
      <c r="G81" s="1882"/>
      <c r="H81" s="1883"/>
      <c r="I81" s="1247"/>
      <c r="J81" s="1241">
        <f t="shared" si="6"/>
        <v>0</v>
      </c>
      <c r="K81" s="1882"/>
      <c r="L81" s="1883"/>
      <c r="M81" s="1247"/>
      <c r="N81" s="1241">
        <f t="shared" si="7"/>
        <v>0</v>
      </c>
      <c r="O81" s="1882"/>
      <c r="P81" s="1883"/>
      <c r="Q81" s="898"/>
      <c r="R81" s="898"/>
      <c r="S81" s="898"/>
      <c r="T81" s="898"/>
      <c r="U81" s="900"/>
      <c r="AA81" s="137">
        <f t="shared" si="9"/>
        <v>0</v>
      </c>
    </row>
    <row r="82" spans="1:27" s="122" customFormat="1" ht="27.75" customHeight="1">
      <c r="A82" s="218">
        <v>244</v>
      </c>
      <c r="B82" s="217"/>
      <c r="C82" s="1823" t="s">
        <v>643</v>
      </c>
      <c r="D82" s="1891"/>
      <c r="E82" s="1247"/>
      <c r="F82" s="1241">
        <f t="shared" si="8"/>
        <v>0</v>
      </c>
      <c r="G82" s="1882"/>
      <c r="H82" s="1883"/>
      <c r="I82" s="1247"/>
      <c r="J82" s="1241">
        <f t="shared" si="6"/>
        <v>0</v>
      </c>
      <c r="K82" s="1882"/>
      <c r="L82" s="1883"/>
      <c r="M82" s="1247"/>
      <c r="N82" s="1241">
        <f t="shared" si="7"/>
        <v>0</v>
      </c>
      <c r="O82" s="1882"/>
      <c r="P82" s="1883"/>
      <c r="Q82" s="898"/>
      <c r="R82" s="898"/>
      <c r="S82" s="898"/>
      <c r="T82" s="898"/>
      <c r="U82" s="900"/>
      <c r="AA82" s="137">
        <f t="shared" si="9"/>
        <v>0</v>
      </c>
    </row>
    <row r="83" spans="1:27" s="122" customFormat="1" ht="27.75" customHeight="1">
      <c r="A83" s="218">
        <v>244</v>
      </c>
      <c r="B83" s="217"/>
      <c r="C83" s="1823" t="s">
        <v>644</v>
      </c>
      <c r="D83" s="1891"/>
      <c r="E83" s="1247"/>
      <c r="F83" s="1241">
        <f t="shared" si="8"/>
        <v>0</v>
      </c>
      <c r="G83" s="1882"/>
      <c r="H83" s="1883"/>
      <c r="I83" s="1247"/>
      <c r="J83" s="1241">
        <f t="shared" si="6"/>
        <v>0</v>
      </c>
      <c r="K83" s="1882"/>
      <c r="L83" s="1883"/>
      <c r="M83" s="1247"/>
      <c r="N83" s="1241">
        <f t="shared" si="7"/>
        <v>0</v>
      </c>
      <c r="O83" s="1882"/>
      <c r="P83" s="1883"/>
      <c r="Q83" s="898"/>
      <c r="R83" s="898"/>
      <c r="S83" s="898"/>
      <c r="T83" s="898"/>
      <c r="U83" s="900"/>
      <c r="AA83" s="137">
        <f t="shared" si="9"/>
        <v>0</v>
      </c>
    </row>
    <row r="84" spans="1:27" s="122" customFormat="1" ht="27.75" customHeight="1">
      <c r="A84" s="218">
        <v>244</v>
      </c>
      <c r="B84" s="217"/>
      <c r="C84" s="1823" t="s">
        <v>645</v>
      </c>
      <c r="D84" s="1891"/>
      <c r="E84" s="1247"/>
      <c r="F84" s="1241">
        <f t="shared" si="8"/>
        <v>0</v>
      </c>
      <c r="G84" s="1882"/>
      <c r="H84" s="1883"/>
      <c r="I84" s="1247"/>
      <c r="J84" s="1241">
        <f t="shared" si="6"/>
        <v>0</v>
      </c>
      <c r="K84" s="1882"/>
      <c r="L84" s="1883"/>
      <c r="M84" s="1247"/>
      <c r="N84" s="1241">
        <f t="shared" si="7"/>
        <v>0</v>
      </c>
      <c r="O84" s="1882"/>
      <c r="P84" s="1883"/>
      <c r="Q84" s="898"/>
      <c r="R84" s="898"/>
      <c r="S84" s="898"/>
      <c r="T84" s="898"/>
      <c r="U84" s="900"/>
      <c r="AA84" s="137">
        <f t="shared" si="9"/>
        <v>0</v>
      </c>
    </row>
    <row r="85" spans="1:27" s="122" customFormat="1" ht="27.75" customHeight="1">
      <c r="A85" s="218">
        <v>244</v>
      </c>
      <c r="B85" s="217"/>
      <c r="C85" s="1823" t="s">
        <v>646</v>
      </c>
      <c r="D85" s="1891"/>
      <c r="E85" s="1247"/>
      <c r="F85" s="1241">
        <f t="shared" si="8"/>
        <v>0</v>
      </c>
      <c r="G85" s="1882"/>
      <c r="H85" s="1883"/>
      <c r="I85" s="1247"/>
      <c r="J85" s="1241">
        <f t="shared" si="6"/>
        <v>0</v>
      </c>
      <c r="K85" s="1882"/>
      <c r="L85" s="1883"/>
      <c r="M85" s="1247"/>
      <c r="N85" s="1241">
        <f t="shared" si="7"/>
        <v>0</v>
      </c>
      <c r="O85" s="1882"/>
      <c r="P85" s="1883"/>
      <c r="Q85" s="898"/>
      <c r="R85" s="898"/>
      <c r="S85" s="898"/>
      <c r="T85" s="898"/>
      <c r="U85" s="900"/>
      <c r="AA85" s="137">
        <f t="shared" si="9"/>
        <v>0</v>
      </c>
    </row>
    <row r="86" spans="1:27" s="122" customFormat="1" ht="27.75" customHeight="1">
      <c r="A86" s="218">
        <v>244</v>
      </c>
      <c r="B86" s="217"/>
      <c r="C86" s="1823" t="s">
        <v>648</v>
      </c>
      <c r="D86" s="1891"/>
      <c r="E86" s="1247"/>
      <c r="F86" s="1241">
        <f t="shared" si="8"/>
        <v>0</v>
      </c>
      <c r="G86" s="1882"/>
      <c r="H86" s="1883"/>
      <c r="I86" s="1247"/>
      <c r="J86" s="1241">
        <f t="shared" si="6"/>
        <v>0</v>
      </c>
      <c r="K86" s="1882"/>
      <c r="L86" s="1883"/>
      <c r="M86" s="1247"/>
      <c r="N86" s="1241">
        <f t="shared" si="7"/>
        <v>0</v>
      </c>
      <c r="O86" s="1882"/>
      <c r="P86" s="1883"/>
      <c r="Q86" s="901"/>
      <c r="R86" s="901"/>
      <c r="S86" s="902"/>
      <c r="T86" s="898"/>
      <c r="U86" s="900"/>
      <c r="AA86" s="137">
        <f t="shared" si="9"/>
        <v>0</v>
      </c>
    </row>
    <row r="87" spans="1:27" s="122" customFormat="1" ht="27.75" customHeight="1">
      <c r="A87" s="218">
        <v>244</v>
      </c>
      <c r="B87" s="217"/>
      <c r="C87" s="1823" t="s">
        <v>649</v>
      </c>
      <c r="D87" s="1891"/>
      <c r="E87" s="1247"/>
      <c r="F87" s="1241">
        <f t="shared" si="8"/>
        <v>0</v>
      </c>
      <c r="G87" s="1882"/>
      <c r="H87" s="1883"/>
      <c r="I87" s="1247"/>
      <c r="J87" s="1241">
        <f t="shared" si="6"/>
        <v>0</v>
      </c>
      <c r="K87" s="1882"/>
      <c r="L87" s="1883"/>
      <c r="M87" s="1247"/>
      <c r="N87" s="1241">
        <f t="shared" si="7"/>
        <v>0</v>
      </c>
      <c r="O87" s="1882"/>
      <c r="P87" s="1883"/>
      <c r="Q87" s="898"/>
      <c r="R87" s="898"/>
      <c r="S87" s="898"/>
      <c r="T87" s="898"/>
      <c r="U87" s="900"/>
      <c r="AA87" s="137">
        <f t="shared" si="9"/>
        <v>0</v>
      </c>
    </row>
    <row r="88" spans="1:27" s="122" customFormat="1" ht="27.75" customHeight="1">
      <c r="A88" s="218">
        <v>244</v>
      </c>
      <c r="B88" s="217"/>
      <c r="C88" s="1823" t="s">
        <v>650</v>
      </c>
      <c r="D88" s="1891"/>
      <c r="E88" s="1247"/>
      <c r="F88" s="1241">
        <f t="shared" si="8"/>
        <v>0</v>
      </c>
      <c r="G88" s="1882"/>
      <c r="H88" s="1883"/>
      <c r="I88" s="1247"/>
      <c r="J88" s="1241">
        <f t="shared" si="6"/>
        <v>0</v>
      </c>
      <c r="K88" s="1882"/>
      <c r="L88" s="1883"/>
      <c r="M88" s="1247"/>
      <c r="N88" s="1241">
        <f t="shared" si="7"/>
        <v>0</v>
      </c>
      <c r="O88" s="1882"/>
      <c r="P88" s="1883"/>
      <c r="Q88" s="898"/>
      <c r="R88" s="898"/>
      <c r="S88" s="898"/>
      <c r="T88" s="898"/>
      <c r="U88" s="900"/>
      <c r="AA88" s="137">
        <f t="shared" si="9"/>
        <v>0</v>
      </c>
    </row>
    <row r="89" spans="1:27" s="122" customFormat="1" ht="27.75" customHeight="1">
      <c r="A89" s="218">
        <v>244</v>
      </c>
      <c r="B89" s="217"/>
      <c r="C89" s="1823" t="s">
        <v>651</v>
      </c>
      <c r="D89" s="1891"/>
      <c r="E89" s="1247"/>
      <c r="F89" s="1241">
        <f t="shared" si="8"/>
        <v>0</v>
      </c>
      <c r="G89" s="1882"/>
      <c r="H89" s="1883"/>
      <c r="I89" s="1247"/>
      <c r="J89" s="1241">
        <f t="shared" si="6"/>
        <v>0</v>
      </c>
      <c r="K89" s="1882"/>
      <c r="L89" s="1883"/>
      <c r="M89" s="1247"/>
      <c r="N89" s="1241">
        <f t="shared" si="7"/>
        <v>0</v>
      </c>
      <c r="O89" s="1882"/>
      <c r="P89" s="1883"/>
      <c r="Q89" s="898"/>
      <c r="R89" s="898"/>
      <c r="S89" s="898"/>
      <c r="T89" s="898"/>
      <c r="U89" s="900"/>
      <c r="AA89" s="137">
        <f t="shared" si="9"/>
        <v>0</v>
      </c>
    </row>
    <row r="90" spans="1:27" s="122" customFormat="1" ht="27.75" customHeight="1">
      <c r="A90" s="218">
        <v>244</v>
      </c>
      <c r="B90" s="217"/>
      <c r="C90" s="1823" t="s">
        <v>652</v>
      </c>
      <c r="D90" s="1891"/>
      <c r="E90" s="1247"/>
      <c r="F90" s="1241">
        <f t="shared" si="8"/>
        <v>0</v>
      </c>
      <c r="G90" s="1882"/>
      <c r="H90" s="1883"/>
      <c r="I90" s="1247"/>
      <c r="J90" s="1241">
        <f t="shared" si="6"/>
        <v>0</v>
      </c>
      <c r="K90" s="1882"/>
      <c r="L90" s="1883"/>
      <c r="M90" s="1247"/>
      <c r="N90" s="1241">
        <f t="shared" si="7"/>
        <v>0</v>
      </c>
      <c r="O90" s="1882"/>
      <c r="P90" s="1883"/>
      <c r="Q90" s="898"/>
      <c r="R90" s="898"/>
      <c r="S90" s="898"/>
      <c r="T90" s="898"/>
      <c r="U90" s="900"/>
      <c r="AA90" s="137">
        <f t="shared" si="9"/>
        <v>0</v>
      </c>
    </row>
    <row r="91" spans="1:27" s="122" customFormat="1" ht="27.75" customHeight="1">
      <c r="A91" s="218">
        <v>244</v>
      </c>
      <c r="B91" s="217"/>
      <c r="C91" s="1823" t="s">
        <v>653</v>
      </c>
      <c r="D91" s="1891"/>
      <c r="E91" s="1247"/>
      <c r="F91" s="1241">
        <f t="shared" si="8"/>
        <v>0</v>
      </c>
      <c r="G91" s="1882"/>
      <c r="H91" s="1883"/>
      <c r="I91" s="1247"/>
      <c r="J91" s="1241">
        <f t="shared" si="6"/>
        <v>0</v>
      </c>
      <c r="K91" s="1882"/>
      <c r="L91" s="1883"/>
      <c r="M91" s="1247"/>
      <c r="N91" s="1241">
        <f t="shared" si="7"/>
        <v>0</v>
      </c>
      <c r="O91" s="1882"/>
      <c r="P91" s="1883"/>
      <c r="Q91" s="898"/>
      <c r="R91" s="898"/>
      <c r="S91" s="898"/>
      <c r="T91" s="898"/>
      <c r="U91" s="900"/>
      <c r="AA91" s="137">
        <f t="shared" si="9"/>
        <v>0</v>
      </c>
    </row>
    <row r="92" spans="1:27" s="122" customFormat="1" ht="27.75" customHeight="1">
      <c r="A92" s="218">
        <v>244</v>
      </c>
      <c r="B92" s="217"/>
      <c r="C92" s="1823" t="s">
        <v>654</v>
      </c>
      <c r="D92" s="1891"/>
      <c r="E92" s="1247"/>
      <c r="F92" s="1241">
        <f t="shared" si="8"/>
        <v>0</v>
      </c>
      <c r="G92" s="1882"/>
      <c r="H92" s="1883"/>
      <c r="I92" s="1247"/>
      <c r="J92" s="1241">
        <f t="shared" si="6"/>
        <v>0</v>
      </c>
      <c r="K92" s="1882"/>
      <c r="L92" s="1883"/>
      <c r="M92" s="1247"/>
      <c r="N92" s="1241">
        <f t="shared" si="7"/>
        <v>0</v>
      </c>
      <c r="O92" s="1882"/>
      <c r="P92" s="1883"/>
      <c r="Q92" s="898"/>
      <c r="R92" s="898"/>
      <c r="S92" s="898"/>
      <c r="T92" s="898"/>
      <c r="U92" s="900"/>
      <c r="AA92" s="137">
        <f t="shared" si="9"/>
        <v>0</v>
      </c>
    </row>
    <row r="93" spans="1:27" s="122" customFormat="1" ht="27.75" customHeight="1">
      <c r="A93" s="218">
        <v>244</v>
      </c>
      <c r="B93" s="217"/>
      <c r="C93" s="1823" t="s">
        <v>655</v>
      </c>
      <c r="D93" s="1891"/>
      <c r="E93" s="1247"/>
      <c r="F93" s="1241">
        <f t="shared" si="8"/>
        <v>0</v>
      </c>
      <c r="G93" s="1882"/>
      <c r="H93" s="1883"/>
      <c r="I93" s="1247"/>
      <c r="J93" s="1241">
        <f t="shared" si="6"/>
        <v>0</v>
      </c>
      <c r="K93" s="1882"/>
      <c r="L93" s="1883"/>
      <c r="M93" s="1247"/>
      <c r="N93" s="1241">
        <f t="shared" si="7"/>
        <v>0</v>
      </c>
      <c r="O93" s="1882"/>
      <c r="P93" s="1883"/>
      <c r="Q93" s="898"/>
      <c r="R93" s="898"/>
      <c r="S93" s="898"/>
      <c r="T93" s="898"/>
      <c r="U93" s="900"/>
      <c r="AA93" s="137">
        <f t="shared" si="9"/>
        <v>0</v>
      </c>
    </row>
    <row r="94" spans="1:27" s="122" customFormat="1" ht="27.75" customHeight="1">
      <c r="A94" s="218">
        <v>244</v>
      </c>
      <c r="B94" s="217"/>
      <c r="C94" s="1823" t="s">
        <v>851</v>
      </c>
      <c r="D94" s="1891"/>
      <c r="E94" s="1247"/>
      <c r="F94" s="1241">
        <f t="shared" si="8"/>
        <v>0</v>
      </c>
      <c r="G94" s="1882"/>
      <c r="H94" s="1883"/>
      <c r="I94" s="1247"/>
      <c r="J94" s="1241">
        <f t="shared" si="6"/>
        <v>0</v>
      </c>
      <c r="K94" s="1882"/>
      <c r="L94" s="1883"/>
      <c r="M94" s="1247"/>
      <c r="N94" s="1241">
        <f t="shared" si="7"/>
        <v>0</v>
      </c>
      <c r="O94" s="1882"/>
      <c r="P94" s="1883"/>
      <c r="Q94" s="898"/>
      <c r="R94" s="898"/>
      <c r="S94" s="898"/>
      <c r="T94" s="898"/>
      <c r="U94" s="900"/>
      <c r="AA94" s="137">
        <f t="shared" si="9"/>
        <v>0</v>
      </c>
    </row>
    <row r="95" spans="1:27" s="122" customFormat="1" ht="27.75" customHeight="1">
      <c r="A95" s="218">
        <v>244</v>
      </c>
      <c r="B95" s="217"/>
      <c r="C95" s="1823" t="s">
        <v>656</v>
      </c>
      <c r="D95" s="1891"/>
      <c r="E95" s="1247"/>
      <c r="F95" s="1241">
        <f t="shared" si="8"/>
        <v>0</v>
      </c>
      <c r="G95" s="1882"/>
      <c r="H95" s="1883"/>
      <c r="I95" s="1247"/>
      <c r="J95" s="1241">
        <f t="shared" si="6"/>
        <v>0</v>
      </c>
      <c r="K95" s="1882"/>
      <c r="L95" s="1883"/>
      <c r="M95" s="1247"/>
      <c r="N95" s="1241">
        <f t="shared" si="7"/>
        <v>0</v>
      </c>
      <c r="O95" s="1882"/>
      <c r="P95" s="1883"/>
      <c r="Q95" s="898"/>
      <c r="R95" s="898"/>
      <c r="S95" s="898"/>
      <c r="T95" s="898"/>
      <c r="U95" s="900"/>
      <c r="AA95" s="137">
        <f t="shared" si="9"/>
        <v>0</v>
      </c>
    </row>
    <row r="96" spans="1:27" s="122" customFormat="1" ht="27.75" customHeight="1">
      <c r="A96" s="218">
        <v>244</v>
      </c>
      <c r="B96" s="217"/>
      <c r="C96" s="1823" t="s">
        <v>658</v>
      </c>
      <c r="D96" s="1891"/>
      <c r="E96" s="1247"/>
      <c r="F96" s="1241">
        <f t="shared" si="8"/>
        <v>0</v>
      </c>
      <c r="G96" s="1882"/>
      <c r="H96" s="1883"/>
      <c r="I96" s="1247"/>
      <c r="J96" s="1241">
        <f t="shared" si="6"/>
        <v>0</v>
      </c>
      <c r="K96" s="1882"/>
      <c r="L96" s="1883"/>
      <c r="M96" s="1247"/>
      <c r="N96" s="1241">
        <f t="shared" si="7"/>
        <v>0</v>
      </c>
      <c r="O96" s="1882"/>
      <c r="P96" s="1883"/>
      <c r="Q96" s="898"/>
      <c r="R96" s="898"/>
      <c r="S96" s="898"/>
      <c r="T96" s="898"/>
      <c r="U96" s="900"/>
      <c r="AA96" s="137">
        <f t="shared" si="9"/>
        <v>0</v>
      </c>
    </row>
    <row r="97" spans="1:30" s="122" customFormat="1" ht="27.75" customHeight="1">
      <c r="A97" s="218">
        <v>245</v>
      </c>
      <c r="B97" s="217"/>
      <c r="C97" s="1880" t="s">
        <v>866</v>
      </c>
      <c r="D97" s="1881"/>
      <c r="E97" s="1258"/>
      <c r="F97" s="1244">
        <f t="shared" si="8"/>
        <v>0</v>
      </c>
      <c r="G97" s="1882"/>
      <c r="H97" s="1883"/>
      <c r="I97" s="1258"/>
      <c r="J97" s="1244">
        <f t="shared" si="6"/>
        <v>0</v>
      </c>
      <c r="K97" s="703"/>
      <c r="L97" s="704"/>
      <c r="M97" s="1258"/>
      <c r="N97" s="1244">
        <f t="shared" si="7"/>
        <v>0</v>
      </c>
      <c r="O97" s="703"/>
      <c r="P97" s="704"/>
      <c r="Q97" s="898"/>
      <c r="R97" s="898"/>
      <c r="S97" s="898"/>
      <c r="T97" s="898"/>
      <c r="U97" s="900"/>
      <c r="AA97" s="137"/>
    </row>
    <row r="98" spans="1:30" s="122" customFormat="1" ht="27.75" customHeight="1">
      <c r="A98" s="243">
        <v>244</v>
      </c>
      <c r="B98" s="246"/>
      <c r="C98" s="1823" t="s">
        <v>660</v>
      </c>
      <c r="D98" s="1891"/>
      <c r="E98" s="1258">
        <f>ROUNDUP(G98/2000,0)</f>
        <v>140</v>
      </c>
      <c r="F98" s="1244">
        <f>IFERROR(ROUND(G98/E98,2),0)</f>
        <v>1987.95</v>
      </c>
      <c r="G98" s="1705">
        <f>G99-SUM(G58:H96)</f>
        <v>278313</v>
      </c>
      <c r="H98" s="1712"/>
      <c r="I98" s="1258">
        <v>0</v>
      </c>
      <c r="J98" s="1244">
        <f>IFERROR(ROUND(K98/I98,2),0)</f>
        <v>0</v>
      </c>
      <c r="K98" s="1705">
        <f>K99-SUM(K58:L96)</f>
        <v>278313</v>
      </c>
      <c r="L98" s="1712"/>
      <c r="M98" s="1258">
        <v>0</v>
      </c>
      <c r="N98" s="1244">
        <f>IFERROR(ROUND(O98/M98,2),0)</f>
        <v>0</v>
      </c>
      <c r="O98" s="1705">
        <f>O99-SUM(O58:P96)</f>
        <v>278313</v>
      </c>
      <c r="P98" s="1712"/>
      <c r="Q98" s="898"/>
      <c r="R98" s="898"/>
      <c r="S98" s="898"/>
      <c r="T98" s="898"/>
      <c r="U98" s="900"/>
      <c r="AA98" s="137">
        <f t="shared" ref="AA98:AA123" si="10">SUM(AB98:BD98)</f>
        <v>0</v>
      </c>
    </row>
    <row r="99" spans="1:30" s="267" customFormat="1" ht="27.75" customHeight="1">
      <c r="A99" s="263"/>
      <c r="B99" s="265"/>
      <c r="C99" s="1897" t="s">
        <v>554</v>
      </c>
      <c r="D99" s="1898"/>
      <c r="E99" s="736" t="s">
        <v>412</v>
      </c>
      <c r="F99" s="734" t="s">
        <v>412</v>
      </c>
      <c r="G99" s="1667">
        <f>SUMIFS(Титульный!$O$69:$O$292,Титульный!$K$69:$K$292,'КФО 4'!$Q99,Титульный!$L$69:$L$292,'КФО 4'!$S99,Титульный!$N$69:$N$292,'КФО 4'!$T99)</f>
        <v>1455503.78</v>
      </c>
      <c r="H99" s="1800">
        <f>SUMIFS(Титульный!$O$69:$O$292,Титульный!$K$69:$K$292,'КФО 4'!$Q99,Титульный!$L$69:$L$292,'КФО 4'!$S99,Титульный!$N$69:$N$292,'КФО 4'!$T99)</f>
        <v>1455503.78</v>
      </c>
      <c r="I99" s="736" t="s">
        <v>412</v>
      </c>
      <c r="J99" s="734" t="s">
        <v>412</v>
      </c>
      <c r="K99" s="1886">
        <f>SUMIFS(Титульный!$P$69:$P$292,
Титульный!$K$69:$K$292,'КФО 4'!$Q99,
Титульный!$L$69:$L$292,'КФО 4'!$S99,
Титульный!$N$69:$N$292,'КФО 4'!$T99)</f>
        <v>1313783</v>
      </c>
      <c r="L99" s="1800">
        <f>SUMIFS(Титульный!$P$69:$P$292,
Титульный!$K$69:$K$292,'КФО 4'!$Q99,
Титульный!$L$69:$L$292,'КФО 4'!$S99,
Титульный!$N$69:$N$292,'КФО 4'!$T99)</f>
        <v>1313783</v>
      </c>
      <c r="M99" s="718" t="s">
        <v>412</v>
      </c>
      <c r="N99" s="734" t="s">
        <v>412</v>
      </c>
      <c r="O99" s="1886">
        <f>SUMIFS(Титульный!$Q$69:$Q$292,
Титульный!$K$69:$K$292,'КФО 4'!$Q99,
Титульный!$L$69:$L$292,'КФО 4'!$S99,
Титульный!$N$69:$N$292,'КФО 4'!$T99)</f>
        <v>1313783</v>
      </c>
      <c r="P99" s="1800">
        <f>SUMIFS(Титульный!$Q$69:$Q$292,
Титульный!$K$69:$K$292,'КФО 4'!$Q99,
Титульный!$L$69:$L$292,'КФО 4'!$S99,
Титульный!$N$69:$N$292,'КФО 4'!$T99)</f>
        <v>1313783</v>
      </c>
      <c r="Q99" s="898">
        <v>4</v>
      </c>
      <c r="R99" s="898"/>
      <c r="S99" s="898">
        <v>244</v>
      </c>
      <c r="T99" s="898">
        <v>225</v>
      </c>
      <c r="U99" s="898"/>
      <c r="AA99" s="137">
        <f t="shared" si="10"/>
        <v>0</v>
      </c>
    </row>
    <row r="100" spans="1:30" s="144" customFormat="1" ht="12" customHeight="1">
      <c r="B100" s="256"/>
      <c r="Q100" s="898"/>
      <c r="R100" s="898"/>
      <c r="S100" s="898"/>
      <c r="T100" s="898"/>
      <c r="U100" s="900"/>
      <c r="AA100" s="137">
        <f t="shared" si="10"/>
        <v>0</v>
      </c>
    </row>
    <row r="101" spans="1:30" s="144" customFormat="1" ht="12" hidden="1" customHeight="1">
      <c r="B101" s="256"/>
      <c r="Q101" s="898"/>
      <c r="R101" s="898"/>
      <c r="S101" s="898"/>
      <c r="T101" s="898"/>
      <c r="U101" s="900"/>
      <c r="AA101" s="137">
        <f t="shared" si="10"/>
        <v>0</v>
      </c>
    </row>
    <row r="102" spans="1:30" s="144" customFormat="1" ht="12" hidden="1" customHeight="1">
      <c r="B102" s="256"/>
      <c r="Q102" s="898"/>
      <c r="R102" s="898"/>
      <c r="S102" s="898"/>
      <c r="T102" s="898"/>
      <c r="U102" s="900"/>
      <c r="AA102" s="137">
        <f t="shared" si="10"/>
        <v>0</v>
      </c>
    </row>
    <row r="103" spans="1:30" s="215" customFormat="1" ht="27.75" customHeight="1">
      <c r="A103" s="1643" t="s">
        <v>580</v>
      </c>
      <c r="B103" s="1643"/>
      <c r="C103" s="1643"/>
      <c r="D103" s="1643"/>
      <c r="E103" s="1643"/>
      <c r="F103" s="1643"/>
      <c r="G103" s="1643"/>
      <c r="H103" s="1643"/>
      <c r="I103" s="1643"/>
      <c r="J103" s="1643"/>
      <c r="K103" s="1643"/>
      <c r="L103" s="1643"/>
      <c r="M103" s="1643"/>
      <c r="N103" s="1643"/>
      <c r="O103" s="1643"/>
      <c r="P103" s="1643"/>
      <c r="Q103" s="898"/>
      <c r="R103" s="898"/>
      <c r="S103" s="898"/>
      <c r="T103" s="898"/>
      <c r="U103" s="899"/>
      <c r="AA103" s="137">
        <f t="shared" si="10"/>
        <v>0</v>
      </c>
    </row>
    <row r="104" spans="1:30" s="144" customFormat="1" ht="12" customHeight="1">
      <c r="B104" s="256"/>
      <c r="Q104" s="898"/>
      <c r="R104" s="898"/>
      <c r="S104" s="898"/>
      <c r="T104" s="898"/>
      <c r="U104" s="900"/>
      <c r="AA104" s="137">
        <f t="shared" si="10"/>
        <v>0</v>
      </c>
    </row>
    <row r="105" spans="1:30" s="144" customFormat="1" ht="33" customHeight="1">
      <c r="A105" s="1687" t="s">
        <v>541</v>
      </c>
      <c r="B105" s="1651" t="s">
        <v>430</v>
      </c>
      <c r="C105" s="1892" t="s">
        <v>553</v>
      </c>
      <c r="D105" s="1696"/>
      <c r="E105" s="1858" t="s">
        <v>1114</v>
      </c>
      <c r="F105" s="1859"/>
      <c r="G105" s="1859"/>
      <c r="H105" s="1887"/>
      <c r="I105" s="1856" t="s">
        <v>1115</v>
      </c>
      <c r="J105" s="1854"/>
      <c r="K105" s="1854"/>
      <c r="L105" s="1855"/>
      <c r="M105" s="1853" t="s">
        <v>1116</v>
      </c>
      <c r="N105" s="1854"/>
      <c r="O105" s="1854"/>
      <c r="P105" s="1855"/>
      <c r="Q105" s="898"/>
      <c r="R105" s="898"/>
      <c r="S105" s="898"/>
      <c r="T105" s="898"/>
      <c r="U105" s="900"/>
      <c r="AA105" s="137">
        <f t="shared" si="10"/>
        <v>0</v>
      </c>
      <c r="AB105" s="137">
        <f>SUM(G108:G122)-SUBTOTAL(109,G108:G122)</f>
        <v>0</v>
      </c>
      <c r="AC105" s="137">
        <f>SUM(K108:L122)-SUBTOTAL(109,K108:L122)</f>
        <v>0</v>
      </c>
      <c r="AD105" s="137">
        <f>SUM(O108:P122)-SUBTOTAL(109,O108:P122)</f>
        <v>0</v>
      </c>
    </row>
    <row r="106" spans="1:30" s="144" customFormat="1" ht="48" customHeight="1">
      <c r="A106" s="1688"/>
      <c r="B106" s="1684"/>
      <c r="C106" s="1893"/>
      <c r="D106" s="1894"/>
      <c r="E106" s="169" t="s">
        <v>581</v>
      </c>
      <c r="F106" s="171" t="s">
        <v>582</v>
      </c>
      <c r="G106" s="1838" t="s">
        <v>496</v>
      </c>
      <c r="H106" s="1839"/>
      <c r="I106" s="169" t="s">
        <v>581</v>
      </c>
      <c r="J106" s="171" t="s">
        <v>582</v>
      </c>
      <c r="K106" s="1838" t="s">
        <v>496</v>
      </c>
      <c r="L106" s="1839"/>
      <c r="M106" s="169" t="s">
        <v>581</v>
      </c>
      <c r="N106" s="171" t="s">
        <v>582</v>
      </c>
      <c r="O106" s="1838" t="s">
        <v>496</v>
      </c>
      <c r="P106" s="1839"/>
      <c r="Q106" s="898"/>
      <c r="R106" s="898"/>
      <c r="S106" s="898"/>
      <c r="T106" s="898"/>
      <c r="U106" s="900"/>
      <c r="AA106" s="137">
        <f t="shared" si="10"/>
        <v>0</v>
      </c>
    </row>
    <row r="107" spans="1:30" s="144" customFormat="1">
      <c r="A107" s="157" t="s">
        <v>6</v>
      </c>
      <c r="B107" s="366" t="s">
        <v>7</v>
      </c>
      <c r="C107" s="1895" t="s">
        <v>8</v>
      </c>
      <c r="D107" s="1896"/>
      <c r="E107" s="187">
        <v>4</v>
      </c>
      <c r="F107" s="178">
        <v>5</v>
      </c>
      <c r="G107" s="1653" t="s">
        <v>716</v>
      </c>
      <c r="H107" s="1654"/>
      <c r="I107" s="187">
        <v>7</v>
      </c>
      <c r="J107" s="178">
        <v>8</v>
      </c>
      <c r="K107" s="1653" t="s">
        <v>717</v>
      </c>
      <c r="L107" s="1654"/>
      <c r="M107" s="187" t="s">
        <v>413</v>
      </c>
      <c r="N107" s="178" t="s">
        <v>418</v>
      </c>
      <c r="O107" s="1653" t="s">
        <v>499</v>
      </c>
      <c r="P107" s="1654"/>
      <c r="Q107" s="898"/>
      <c r="R107" s="898"/>
      <c r="S107" s="898"/>
      <c r="T107" s="898"/>
      <c r="U107" s="900"/>
      <c r="AA107" s="137">
        <f t="shared" si="10"/>
        <v>0</v>
      </c>
    </row>
    <row r="108" spans="1:30" s="122" customFormat="1" ht="27.75" customHeight="1">
      <c r="A108" s="680">
        <v>244</v>
      </c>
      <c r="B108" s="681"/>
      <c r="C108" s="1821" t="s">
        <v>666</v>
      </c>
      <c r="D108" s="1934"/>
      <c r="E108" s="845">
        <v>1</v>
      </c>
      <c r="F108" s="1249">
        <f t="shared" ref="F108:F111" si="11">IFERROR(ROUND(G108/E108,2),0)</f>
        <v>11300</v>
      </c>
      <c r="G108" s="1645">
        <f>SUMIFS(Титульный!$O$69:$O$292,Титульный!$L$69:$L$292,Q108,Титульный!$M$69:$M$292,R108,Титульный!$N$69:$N$292,S108)</f>
        <v>11300</v>
      </c>
      <c r="H108" s="1943"/>
      <c r="I108" s="845">
        <v>1</v>
      </c>
      <c r="J108" s="1249">
        <f t="shared" ref="J108:J111" si="12">IFERROR(ROUND(K108/I108,2),0)</f>
        <v>11300</v>
      </c>
      <c r="K108" s="1645">
        <f>SUMIFS(Титульный!$P$69:$P$292,Титульный!$L$69:$L$292,Q108,Титульный!$M$69:$M$292,R108,Титульный!$N$69:$N$292,S108)</f>
        <v>11300</v>
      </c>
      <c r="L108" s="1943"/>
      <c r="M108" s="845">
        <v>1</v>
      </c>
      <c r="N108" s="1249">
        <f t="shared" ref="N108:N111" si="13">IFERROR(ROUND(O108/M108,2),0)</f>
        <v>11300</v>
      </c>
      <c r="O108" s="1645">
        <f>SUMIFS(Титульный!$Q$69:$Q$292,Титульный!$L$69:$L$292,Q108,Титульный!$M$69:$M$292,R108,Титульный!$N$69:$N$292,S108)</f>
        <v>11300</v>
      </c>
      <c r="P108" s="1943"/>
      <c r="Q108" s="895">
        <v>244</v>
      </c>
      <c r="R108" s="901">
        <v>30561</v>
      </c>
      <c r="S108" s="901">
        <v>226</v>
      </c>
      <c r="T108" s="903" t="s">
        <v>242</v>
      </c>
      <c r="U108" s="900"/>
      <c r="AA108" s="137">
        <f t="shared" si="10"/>
        <v>0</v>
      </c>
    </row>
    <row r="109" spans="1:30" s="122" customFormat="1" ht="27.75" customHeight="1">
      <c r="A109" s="218">
        <v>244</v>
      </c>
      <c r="B109" s="217"/>
      <c r="C109" s="1823" t="s">
        <v>670</v>
      </c>
      <c r="D109" s="1891"/>
      <c r="E109" s="1247">
        <f>ROUNDUP(G109/120000,0)</f>
        <v>9</v>
      </c>
      <c r="F109" s="1241">
        <f t="shared" si="11"/>
        <v>108662.33</v>
      </c>
      <c r="G109" s="1882">
        <f>SUMIFS(Титульный!$O$69:$O$292,Титульный!$L$69:$L$292,Q109,Титульный!$M$69:$M$292,R109,Титульный!$N$69:$N$292,S109)</f>
        <v>977960.94</v>
      </c>
      <c r="H109" s="1883"/>
      <c r="I109" s="1247">
        <f>ROUNDUP(K109/80000,0)</f>
        <v>12</v>
      </c>
      <c r="J109" s="1241">
        <f t="shared" si="12"/>
        <v>75841.58</v>
      </c>
      <c r="K109" s="1882">
        <f>SUMIFS(Титульный!$P$69:$P$292,Титульный!$L$69:$L$292,Q109,Титульный!$M$69:$M$292,R109,Титульный!$N$69:$N$292,S109)</f>
        <v>910099</v>
      </c>
      <c r="L109" s="1883"/>
      <c r="M109" s="1247">
        <f>ROUNDUP(O109/80000,0)</f>
        <v>12</v>
      </c>
      <c r="N109" s="1241">
        <f t="shared" si="13"/>
        <v>75841.58</v>
      </c>
      <c r="O109" s="1882">
        <f>SUMIFS(Титульный!$Q$69:$Q$292,Титульный!$L$69:$L$292,Q109,Титульный!$M$69:$M$292,R109,Титульный!$N$69:$N$292,S109)</f>
        <v>910099</v>
      </c>
      <c r="P109" s="1883"/>
      <c r="Q109" s="895">
        <v>244</v>
      </c>
      <c r="R109" s="901">
        <v>32561</v>
      </c>
      <c r="S109" s="901">
        <v>226</v>
      </c>
      <c r="T109" s="903" t="s">
        <v>850</v>
      </c>
      <c r="U109" s="900"/>
      <c r="AA109" s="137">
        <f t="shared" si="10"/>
        <v>0</v>
      </c>
    </row>
    <row r="110" spans="1:30" s="122" customFormat="1" ht="27.75" customHeight="1">
      <c r="A110" s="218">
        <v>244</v>
      </c>
      <c r="B110" s="217"/>
      <c r="C110" s="1823" t="s">
        <v>667</v>
      </c>
      <c r="D110" s="1891"/>
      <c r="E110" s="1247">
        <f>ROUNDUP(G110/400000,0)</f>
        <v>5</v>
      </c>
      <c r="F110" s="1241">
        <f t="shared" si="11"/>
        <v>356889.68</v>
      </c>
      <c r="G110" s="1882">
        <f>SUMIFS(Титульный!$O$69:$O$292,Титульный!$L$69:$L$292,Q110,Титульный!$M$69:$M$292,R110,Титульный!$N$69:$N$292,S110)</f>
        <v>1784448.4</v>
      </c>
      <c r="H110" s="1883"/>
      <c r="I110" s="1247">
        <f>ROUNDUP(K110/320000,0)</f>
        <v>6</v>
      </c>
      <c r="J110" s="1241">
        <f t="shared" si="12"/>
        <v>291271.67</v>
      </c>
      <c r="K110" s="1882">
        <f>SUMIFS(Титульный!$P$69:$P$292,Титульный!$L$69:$L$292,Q110,Титульный!$M$69:$M$292,R110,Титульный!$N$69:$N$292,S110)</f>
        <v>1747630</v>
      </c>
      <c r="L110" s="1883"/>
      <c r="M110" s="1247">
        <f>ROUNDUP(O110/320000,0)</f>
        <v>6</v>
      </c>
      <c r="N110" s="1241">
        <f t="shared" si="13"/>
        <v>291271.67</v>
      </c>
      <c r="O110" s="1882">
        <f>SUMIFS(Титульный!$Q$69:$Q$292,Титульный!$L$69:$L$292,Q110,Титульный!$M$69:$M$292,R110,Титульный!$N$69:$N$292,S110)</f>
        <v>1747630</v>
      </c>
      <c r="P110" s="1883"/>
      <c r="Q110" s="895">
        <v>244</v>
      </c>
      <c r="R110" s="901">
        <v>34561</v>
      </c>
      <c r="S110" s="901">
        <v>226</v>
      </c>
      <c r="T110" s="903" t="s">
        <v>788</v>
      </c>
      <c r="U110" s="900"/>
      <c r="AA110" s="137">
        <f t="shared" si="10"/>
        <v>0</v>
      </c>
    </row>
    <row r="111" spans="1:30" s="122" customFormat="1" ht="27.75" customHeight="1" thickBot="1">
      <c r="A111" s="682">
        <v>244</v>
      </c>
      <c r="B111" s="683"/>
      <c r="C111" s="1939" t="s">
        <v>661</v>
      </c>
      <c r="D111" s="1940"/>
      <c r="E111" s="848">
        <v>13</v>
      </c>
      <c r="F111" s="746">
        <f t="shared" si="11"/>
        <v>5800</v>
      </c>
      <c r="G111" s="1941">
        <f>SUMIFS(Титульный!$O$69:$O$292,Титульный!$L$69:$L$292,Q111,Титульный!$M$69:$M$292,R111,Титульный!$N$69:$N$292,S111)</f>
        <v>75400</v>
      </c>
      <c r="H111" s="1942"/>
      <c r="I111" s="848">
        <v>12</v>
      </c>
      <c r="J111" s="746">
        <f t="shared" si="12"/>
        <v>5800</v>
      </c>
      <c r="K111" s="1941">
        <f>SUMIFS(Титульный!$P$69:$P$292,Титульный!$L$69:$L$292,Q111,Титульный!$M$69:$M$292,R111,Титульный!$N$69:$N$292,S111)</f>
        <v>69600</v>
      </c>
      <c r="L111" s="1942"/>
      <c r="M111" s="848">
        <v>12</v>
      </c>
      <c r="N111" s="746">
        <f t="shared" si="13"/>
        <v>5800</v>
      </c>
      <c r="O111" s="1941">
        <f>SUMIFS(Титульный!$Q$69:$Q$292,Титульный!$L$69:$L$292,Q111,Титульный!$M$69:$M$292,R111,Титульный!$N$69:$N$292,S111)</f>
        <v>69600</v>
      </c>
      <c r="P111" s="1942"/>
      <c r="Q111" s="895">
        <v>244</v>
      </c>
      <c r="R111" s="901">
        <v>34562</v>
      </c>
      <c r="S111" s="901">
        <v>226</v>
      </c>
      <c r="T111" s="903" t="s">
        <v>789</v>
      </c>
      <c r="U111" s="900"/>
      <c r="W111" s="684">
        <v>16561</v>
      </c>
      <c r="AA111" s="137">
        <f t="shared" si="10"/>
        <v>0</v>
      </c>
    </row>
    <row r="112" spans="1:30" s="122" customFormat="1" ht="27.75" customHeight="1" thickTop="1">
      <c r="A112" s="236">
        <v>244</v>
      </c>
      <c r="B112" s="247"/>
      <c r="C112" s="1810" t="s">
        <v>662</v>
      </c>
      <c r="D112" s="1914"/>
      <c r="E112" s="1247"/>
      <c r="F112" s="1241">
        <f t="shared" ref="F112:F124" si="14">IFERROR(ROUND(G112/E112,2),0)</f>
        <v>0</v>
      </c>
      <c r="G112" s="1937"/>
      <c r="H112" s="1938"/>
      <c r="I112" s="1247"/>
      <c r="J112" s="1241">
        <f t="shared" ref="J112:J124" si="15">IFERROR(ROUND(K112/I112,2),0)</f>
        <v>0</v>
      </c>
      <c r="K112" s="1937"/>
      <c r="L112" s="1938"/>
      <c r="M112" s="1247"/>
      <c r="N112" s="1241">
        <f t="shared" ref="N112:N124" si="16">IFERROR(ROUND(O112/M112,2),0)</f>
        <v>0</v>
      </c>
      <c r="O112" s="1937"/>
      <c r="P112" s="1938"/>
      <c r="Q112" s="895">
        <v>244</v>
      </c>
      <c r="R112" s="901">
        <v>16561</v>
      </c>
      <c r="S112" s="901"/>
      <c r="T112" s="898"/>
      <c r="U112" s="900"/>
      <c r="AA112" s="137">
        <f t="shared" si="10"/>
        <v>0</v>
      </c>
    </row>
    <row r="113" spans="1:27" s="122" customFormat="1" ht="27.75" customHeight="1">
      <c r="A113" s="218">
        <v>244</v>
      </c>
      <c r="B113" s="217"/>
      <c r="C113" s="1823" t="s">
        <v>863</v>
      </c>
      <c r="D113" s="1891"/>
      <c r="E113" s="1247"/>
      <c r="F113" s="1241">
        <f t="shared" si="14"/>
        <v>0</v>
      </c>
      <c r="G113" s="1882"/>
      <c r="H113" s="1883"/>
      <c r="I113" s="1247"/>
      <c r="J113" s="1241">
        <f t="shared" si="15"/>
        <v>0</v>
      </c>
      <c r="K113" s="1882"/>
      <c r="L113" s="1883"/>
      <c r="M113" s="1247"/>
      <c r="N113" s="1241">
        <f t="shared" si="16"/>
        <v>0</v>
      </c>
      <c r="O113" s="1882"/>
      <c r="P113" s="1883"/>
      <c r="Q113" s="895">
        <v>244</v>
      </c>
      <c r="R113" s="901">
        <v>16561</v>
      </c>
      <c r="S113" s="901"/>
      <c r="T113" s="898"/>
      <c r="U113" s="900"/>
      <c r="AA113" s="137">
        <f t="shared" si="10"/>
        <v>0</v>
      </c>
    </row>
    <row r="114" spans="1:27" s="122" customFormat="1" ht="27.75" customHeight="1">
      <c r="A114" s="218">
        <v>244</v>
      </c>
      <c r="B114" s="217"/>
      <c r="C114" s="1823" t="s">
        <v>664</v>
      </c>
      <c r="D114" s="1891"/>
      <c r="E114" s="1247"/>
      <c r="F114" s="1241">
        <f t="shared" si="14"/>
        <v>0</v>
      </c>
      <c r="G114" s="1882"/>
      <c r="H114" s="1883"/>
      <c r="I114" s="1247"/>
      <c r="J114" s="1241">
        <f t="shared" si="15"/>
        <v>0</v>
      </c>
      <c r="K114" s="1882"/>
      <c r="L114" s="1883"/>
      <c r="M114" s="1247"/>
      <c r="N114" s="1241">
        <f t="shared" si="16"/>
        <v>0</v>
      </c>
      <c r="O114" s="1882"/>
      <c r="P114" s="1883"/>
      <c r="Q114" s="895">
        <v>244</v>
      </c>
      <c r="R114" s="901">
        <v>16561</v>
      </c>
      <c r="S114" s="901"/>
      <c r="T114" s="898"/>
      <c r="U114" s="900"/>
      <c r="AA114" s="137">
        <f t="shared" si="10"/>
        <v>0</v>
      </c>
    </row>
    <row r="115" spans="1:27" s="122" customFormat="1" ht="27.75" customHeight="1">
      <c r="A115" s="218">
        <v>244</v>
      </c>
      <c r="B115" s="217"/>
      <c r="C115" s="1823" t="s">
        <v>741</v>
      </c>
      <c r="D115" s="1891"/>
      <c r="E115" s="1247"/>
      <c r="F115" s="1241">
        <f t="shared" si="14"/>
        <v>0</v>
      </c>
      <c r="G115" s="1882"/>
      <c r="H115" s="1883"/>
      <c r="I115" s="1247"/>
      <c r="J115" s="1241">
        <f t="shared" si="15"/>
        <v>0</v>
      </c>
      <c r="K115" s="1882"/>
      <c r="L115" s="1883"/>
      <c r="M115" s="1247"/>
      <c r="N115" s="1241">
        <f t="shared" si="16"/>
        <v>0</v>
      </c>
      <c r="O115" s="1882"/>
      <c r="P115" s="1883"/>
      <c r="Q115" s="895">
        <v>244</v>
      </c>
      <c r="R115" s="901">
        <v>16561</v>
      </c>
      <c r="S115" s="901"/>
      <c r="T115" s="898"/>
      <c r="U115" s="900"/>
      <c r="AA115" s="137">
        <f t="shared" si="10"/>
        <v>0</v>
      </c>
    </row>
    <row r="116" spans="1:27" s="122" customFormat="1" ht="27.75" customHeight="1">
      <c r="A116" s="218">
        <v>244</v>
      </c>
      <c r="B116" s="217"/>
      <c r="C116" s="1823" t="s">
        <v>665</v>
      </c>
      <c r="D116" s="1891"/>
      <c r="E116" s="1247"/>
      <c r="F116" s="1241">
        <f t="shared" si="14"/>
        <v>0</v>
      </c>
      <c r="G116" s="1882"/>
      <c r="H116" s="1883"/>
      <c r="I116" s="1247"/>
      <c r="J116" s="1241">
        <f t="shared" si="15"/>
        <v>0</v>
      </c>
      <c r="K116" s="1882"/>
      <c r="L116" s="1883"/>
      <c r="M116" s="1247"/>
      <c r="N116" s="1241">
        <f t="shared" si="16"/>
        <v>0</v>
      </c>
      <c r="O116" s="1882"/>
      <c r="P116" s="1883"/>
      <c r="Q116" s="895">
        <v>244</v>
      </c>
      <c r="R116" s="901">
        <v>16561</v>
      </c>
      <c r="S116" s="901"/>
      <c r="T116" s="898"/>
      <c r="U116" s="900"/>
      <c r="AA116" s="137">
        <f t="shared" si="10"/>
        <v>0</v>
      </c>
    </row>
    <row r="117" spans="1:27" s="122" customFormat="1" ht="27.75" customHeight="1">
      <c r="A117" s="218">
        <v>244</v>
      </c>
      <c r="B117" s="217"/>
      <c r="C117" s="1823" t="s">
        <v>668</v>
      </c>
      <c r="D117" s="1891"/>
      <c r="E117" s="1247"/>
      <c r="F117" s="1241">
        <f t="shared" si="14"/>
        <v>0</v>
      </c>
      <c r="G117" s="1882"/>
      <c r="H117" s="1883"/>
      <c r="I117" s="1247"/>
      <c r="J117" s="1241">
        <f t="shared" si="15"/>
        <v>0</v>
      </c>
      <c r="K117" s="1882"/>
      <c r="L117" s="1883"/>
      <c r="M117" s="1247"/>
      <c r="N117" s="1241">
        <f t="shared" si="16"/>
        <v>0</v>
      </c>
      <c r="O117" s="1882"/>
      <c r="P117" s="1883"/>
      <c r="Q117" s="895">
        <v>244</v>
      </c>
      <c r="R117" s="901">
        <v>16561</v>
      </c>
      <c r="S117" s="901"/>
      <c r="T117" s="898"/>
      <c r="U117" s="900"/>
      <c r="AA117" s="137">
        <f t="shared" si="10"/>
        <v>0</v>
      </c>
    </row>
    <row r="118" spans="1:27" s="122" customFormat="1" ht="27.75" customHeight="1">
      <c r="A118" s="218">
        <v>244</v>
      </c>
      <c r="B118" s="217"/>
      <c r="C118" s="1823" t="s">
        <v>669</v>
      </c>
      <c r="D118" s="1891"/>
      <c r="E118" s="1247"/>
      <c r="F118" s="1241">
        <f t="shared" si="14"/>
        <v>0</v>
      </c>
      <c r="G118" s="1882"/>
      <c r="H118" s="1883"/>
      <c r="I118" s="1247"/>
      <c r="J118" s="1241">
        <f t="shared" si="15"/>
        <v>0</v>
      </c>
      <c r="K118" s="1882"/>
      <c r="L118" s="1883"/>
      <c r="M118" s="1247"/>
      <c r="N118" s="1241">
        <f t="shared" si="16"/>
        <v>0</v>
      </c>
      <c r="O118" s="1882"/>
      <c r="P118" s="1883"/>
      <c r="Q118" s="895">
        <v>244</v>
      </c>
      <c r="R118" s="901">
        <v>16561</v>
      </c>
      <c r="S118" s="901"/>
      <c r="T118" s="898"/>
      <c r="U118" s="900"/>
      <c r="AA118" s="137">
        <f t="shared" si="10"/>
        <v>0</v>
      </c>
    </row>
    <row r="119" spans="1:27" s="122" customFormat="1" ht="27.75" customHeight="1">
      <c r="A119" s="218">
        <v>244</v>
      </c>
      <c r="B119" s="217"/>
      <c r="C119" s="1823" t="s">
        <v>671</v>
      </c>
      <c r="D119" s="1891"/>
      <c r="E119" s="1247"/>
      <c r="F119" s="1241">
        <f t="shared" si="14"/>
        <v>0</v>
      </c>
      <c r="G119" s="1882"/>
      <c r="H119" s="1883"/>
      <c r="I119" s="1247"/>
      <c r="J119" s="1241">
        <f t="shared" si="15"/>
        <v>0</v>
      </c>
      <c r="K119" s="1882"/>
      <c r="L119" s="1883"/>
      <c r="M119" s="1247"/>
      <c r="N119" s="1241">
        <f t="shared" si="16"/>
        <v>0</v>
      </c>
      <c r="O119" s="1882"/>
      <c r="P119" s="1883"/>
      <c r="Q119" s="895">
        <v>244</v>
      </c>
      <c r="R119" s="901">
        <v>16561</v>
      </c>
      <c r="S119" s="901"/>
      <c r="T119" s="898"/>
      <c r="U119" s="900"/>
      <c r="AA119" s="137">
        <f t="shared" si="10"/>
        <v>0</v>
      </c>
    </row>
    <row r="120" spans="1:27" s="122" customFormat="1" ht="27.75" customHeight="1">
      <c r="A120" s="218">
        <v>244</v>
      </c>
      <c r="B120" s="217"/>
      <c r="C120" s="1823" t="s">
        <v>672</v>
      </c>
      <c r="D120" s="1891"/>
      <c r="E120" s="1247"/>
      <c r="F120" s="1241">
        <f t="shared" si="14"/>
        <v>0</v>
      </c>
      <c r="G120" s="1882"/>
      <c r="H120" s="1883"/>
      <c r="I120" s="1247"/>
      <c r="J120" s="1241">
        <f t="shared" si="15"/>
        <v>0</v>
      </c>
      <c r="K120" s="1882"/>
      <c r="L120" s="1883"/>
      <c r="M120" s="1247"/>
      <c r="N120" s="1241">
        <f t="shared" si="16"/>
        <v>0</v>
      </c>
      <c r="O120" s="1882"/>
      <c r="P120" s="1883"/>
      <c r="Q120" s="895">
        <v>244</v>
      </c>
      <c r="R120" s="901">
        <v>16561</v>
      </c>
      <c r="S120" s="901"/>
      <c r="T120" s="898"/>
      <c r="U120" s="900"/>
      <c r="AA120" s="137">
        <f t="shared" si="10"/>
        <v>0</v>
      </c>
    </row>
    <row r="121" spans="1:27" s="122" customFormat="1" ht="27.75" customHeight="1">
      <c r="A121" s="218">
        <v>244</v>
      </c>
      <c r="B121" s="217"/>
      <c r="C121" s="1823" t="s">
        <v>673</v>
      </c>
      <c r="D121" s="1891"/>
      <c r="E121" s="1247"/>
      <c r="F121" s="1241">
        <f t="shared" si="14"/>
        <v>0</v>
      </c>
      <c r="G121" s="1882"/>
      <c r="H121" s="1883"/>
      <c r="I121" s="1247"/>
      <c r="J121" s="1241">
        <f t="shared" si="15"/>
        <v>0</v>
      </c>
      <c r="K121" s="1882"/>
      <c r="L121" s="1883"/>
      <c r="M121" s="1247"/>
      <c r="N121" s="1241">
        <f t="shared" si="16"/>
        <v>0</v>
      </c>
      <c r="O121" s="1882"/>
      <c r="P121" s="1883"/>
      <c r="Q121" s="895">
        <v>244</v>
      </c>
      <c r="R121" s="901">
        <v>16561</v>
      </c>
      <c r="S121" s="901"/>
      <c r="T121" s="898"/>
      <c r="U121" s="900"/>
      <c r="AA121" s="137">
        <f t="shared" si="10"/>
        <v>0</v>
      </c>
    </row>
    <row r="122" spans="1:27" s="122" customFormat="1" ht="49.9" customHeight="1">
      <c r="A122" s="218">
        <v>244</v>
      </c>
      <c r="B122" s="217"/>
      <c r="C122" s="1823" t="s">
        <v>858</v>
      </c>
      <c r="D122" s="1891"/>
      <c r="E122" s="1247"/>
      <c r="F122" s="1241">
        <f t="shared" si="14"/>
        <v>0</v>
      </c>
      <c r="G122" s="1882"/>
      <c r="H122" s="1883"/>
      <c r="I122" s="1247"/>
      <c r="J122" s="1241">
        <f t="shared" si="15"/>
        <v>0</v>
      </c>
      <c r="K122" s="1882"/>
      <c r="L122" s="1883"/>
      <c r="M122" s="1247"/>
      <c r="N122" s="1241">
        <f t="shared" si="16"/>
        <v>0</v>
      </c>
      <c r="O122" s="1882"/>
      <c r="P122" s="1883"/>
      <c r="Q122" s="895">
        <v>244</v>
      </c>
      <c r="R122" s="901">
        <v>16561</v>
      </c>
      <c r="S122" s="901"/>
      <c r="T122" s="898"/>
      <c r="U122" s="900"/>
      <c r="AA122" s="137">
        <f t="shared" si="10"/>
        <v>0</v>
      </c>
    </row>
    <row r="123" spans="1:27" s="122" customFormat="1" ht="27.75" customHeight="1">
      <c r="A123" s="218">
        <v>244</v>
      </c>
      <c r="B123" s="217"/>
      <c r="C123" s="1823" t="s">
        <v>675</v>
      </c>
      <c r="D123" s="1891"/>
      <c r="E123" s="1247"/>
      <c r="F123" s="1241">
        <f t="shared" si="14"/>
        <v>0</v>
      </c>
      <c r="G123" s="1882"/>
      <c r="H123" s="1883"/>
      <c r="I123" s="1247"/>
      <c r="J123" s="1241">
        <f t="shared" si="15"/>
        <v>0</v>
      </c>
      <c r="K123" s="1882"/>
      <c r="L123" s="1883"/>
      <c r="M123" s="1247"/>
      <c r="N123" s="1241">
        <f t="shared" si="16"/>
        <v>0</v>
      </c>
      <c r="O123" s="1882"/>
      <c r="P123" s="1883"/>
      <c r="Q123" s="895">
        <v>244</v>
      </c>
      <c r="R123" s="901">
        <v>16561</v>
      </c>
      <c r="S123" s="901"/>
      <c r="T123" s="898"/>
      <c r="U123" s="900"/>
      <c r="AA123" s="137">
        <f t="shared" si="10"/>
        <v>0</v>
      </c>
    </row>
    <row r="124" spans="1:27" s="122" customFormat="1" ht="27.75" customHeight="1">
      <c r="A124" s="222">
        <v>245</v>
      </c>
      <c r="B124" s="221"/>
      <c r="C124" s="1880" t="s">
        <v>874</v>
      </c>
      <c r="D124" s="1881"/>
      <c r="E124" s="1258"/>
      <c r="F124" s="1244">
        <f t="shared" si="14"/>
        <v>0</v>
      </c>
      <c r="G124" s="1882"/>
      <c r="H124" s="1883"/>
      <c r="I124" s="1258"/>
      <c r="J124" s="1244">
        <f t="shared" si="15"/>
        <v>0</v>
      </c>
      <c r="K124" s="1882"/>
      <c r="L124" s="1883"/>
      <c r="M124" s="1258"/>
      <c r="N124" s="1244">
        <f t="shared" si="16"/>
        <v>0</v>
      </c>
      <c r="O124" s="1882"/>
      <c r="P124" s="1883"/>
      <c r="Q124" s="895">
        <v>244</v>
      </c>
      <c r="R124" s="901">
        <v>16561</v>
      </c>
      <c r="S124" s="901"/>
      <c r="T124" s="898"/>
      <c r="U124" s="900"/>
      <c r="AA124" s="137"/>
    </row>
    <row r="125" spans="1:27" s="122" customFormat="1" ht="27.75" customHeight="1">
      <c r="A125" s="243">
        <v>244</v>
      </c>
      <c r="B125" s="252"/>
      <c r="C125" s="1819" t="s">
        <v>674</v>
      </c>
      <c r="D125" s="1915"/>
      <c r="E125" s="1258"/>
      <c r="F125" s="1244">
        <f t="shared" ref="F125" si="17">IFERROR(ROUND(G125/E125,2),0)</f>
        <v>0</v>
      </c>
      <c r="G125" s="1705">
        <f>G126-SUM(G108:H124)</f>
        <v>163380.85000000009</v>
      </c>
      <c r="H125" s="1712"/>
      <c r="I125" s="1258"/>
      <c r="J125" s="1244">
        <f t="shared" ref="J125" si="18">IFERROR(ROUND(K125/I125,2),0)</f>
        <v>0</v>
      </c>
      <c r="K125" s="1705">
        <f>K126-SUM(K108:L123)</f>
        <v>159070</v>
      </c>
      <c r="L125" s="1712"/>
      <c r="M125" s="1258"/>
      <c r="N125" s="1244">
        <f t="shared" ref="N125" si="19">IFERROR(ROUND(O125/M125,2),0)</f>
        <v>0</v>
      </c>
      <c r="O125" s="1705">
        <f>O126-SUM(O108:P123)</f>
        <v>159070</v>
      </c>
      <c r="P125" s="1712"/>
      <c r="Q125" s="895">
        <v>244</v>
      </c>
      <c r="R125" s="901">
        <v>16561</v>
      </c>
      <c r="S125" s="901"/>
      <c r="T125" s="898"/>
      <c r="U125" s="900"/>
      <c r="AA125" s="137">
        <f t="shared" ref="AA125:AA156" si="20">SUM(AB125:BD125)</f>
        <v>0</v>
      </c>
    </row>
    <row r="126" spans="1:27" s="267" customFormat="1" ht="27.75" customHeight="1">
      <c r="A126" s="263"/>
      <c r="B126" s="368"/>
      <c r="C126" s="1897" t="s">
        <v>554</v>
      </c>
      <c r="D126" s="1898"/>
      <c r="E126" s="736" t="s">
        <v>412</v>
      </c>
      <c r="F126" s="734" t="s">
        <v>412</v>
      </c>
      <c r="G126" s="1886">
        <f>SUMIFS(Титульный!$O$69:$O$292,Титульный!$K$69:$K$292,'КФО 4'!$Q126,Титульный!$L$69:$L$292,'КФО 4'!$S126,Титульный!$N$69:$N$292,'КФО 4'!$T126)+
SUMIFS(Титульный!$O$69:$O$292,Титульный!$K$69:$K$292,'КФО 4'!$Q126,Титульный!$L$69:$L$292,'КФО 4'!$S127,Титульный!$N$69:$N$292,'КФО 4'!$T126)</f>
        <v>3012490.19</v>
      </c>
      <c r="H126" s="1800">
        <f>SUMIFS(Титульный!$O$69:$O$292,Титульный!$K$69:$K$292,'КФО 4'!$Q126,Титульный!$L$69:$L$292,'КФО 4'!$S126,Титульный!$N$69:$N$292,'КФО 4'!$T126)</f>
        <v>3012490.19</v>
      </c>
      <c r="I126" s="736" t="s">
        <v>412</v>
      </c>
      <c r="J126" s="734" t="s">
        <v>412</v>
      </c>
      <c r="K126" s="1886">
        <f>SUMIFS(Титульный!$P$69:$P$292,
Титульный!$K$69:$K$292,'КФО 4'!$Q126,
Титульный!$L$69:$L$292,'КФО 4'!$S126,
Титульный!$N$69:$N$292,'КФО 4'!$T126)
+SUMIFS(Титульный!$P$69:$P$292,
Титульный!$K$69:$K$292,'КФО 4'!$Q126,
Титульный!$L$69:$L$292,'КФО 4'!$S127,
Титульный!$N$69:$N$292,'КФО 4'!$T126)</f>
        <v>2897699</v>
      </c>
      <c r="L126" s="1800">
        <f>SUMIFS(Титульный!$P$69:$P$292,
Титульный!$K$69:$K$292,'КФО 4'!$Q126,
Титульный!$L$69:$L$292,'КФО 4'!$S126,
Титульный!$N$69:$N$292,'КФО 4'!$T126)</f>
        <v>2897699</v>
      </c>
      <c r="M126" s="718" t="s">
        <v>412</v>
      </c>
      <c r="N126" s="734" t="s">
        <v>412</v>
      </c>
      <c r="O126" s="1886">
        <f>SUMIFS(Титульный!$Q$69:$Q$292,
Титульный!$K$69:$K$292,'КФО 4'!$Q126,
Титульный!$L$69:$L$292,'КФО 4'!$S126,
Титульный!$N$69:$N$292,'КФО 4'!$T126)
+SUMIFS(Титульный!$Q$69:$Q$292,
Титульный!$K$69:$K$292,'КФО 4'!$Q126,
Титульный!$L$69:$L$292,'КФО 4'!$S127,
Титульный!$N$69:$N$292,'КФО 4'!$T126)</f>
        <v>2897699</v>
      </c>
      <c r="P126" s="1800">
        <f>SUMIFS(Титульный!$Q$69:$Q$292,
Титульный!$K$69:$K$292,'КФО 4'!$Q126,
Титульный!$L$69:$L$292,'КФО 4'!$S126,
Титульный!$N$69:$N$292,'КФО 4'!$T126)</f>
        <v>2897699</v>
      </c>
      <c r="Q126" s="898">
        <v>4</v>
      </c>
      <c r="R126" s="898"/>
      <c r="S126" s="898">
        <v>244</v>
      </c>
      <c r="T126" s="898">
        <v>226</v>
      </c>
      <c r="U126" s="898"/>
      <c r="AA126" s="137">
        <f t="shared" si="20"/>
        <v>0</v>
      </c>
    </row>
    <row r="127" spans="1:27" s="144" customFormat="1" ht="12" customHeight="1">
      <c r="B127" s="256"/>
      <c r="Q127" s="898"/>
      <c r="R127" s="898"/>
      <c r="S127" s="898">
        <v>245</v>
      </c>
      <c r="T127" s="898"/>
      <c r="U127" s="900"/>
      <c r="AA127" s="137">
        <f t="shared" si="20"/>
        <v>0</v>
      </c>
    </row>
    <row r="128" spans="1:27" s="144" customFormat="1" ht="12" hidden="1" customHeight="1">
      <c r="B128" s="256"/>
      <c r="Q128" s="898"/>
      <c r="R128" s="898"/>
      <c r="S128" s="898"/>
      <c r="T128" s="898"/>
      <c r="U128" s="900"/>
      <c r="AA128" s="137">
        <f t="shared" si="20"/>
        <v>0</v>
      </c>
    </row>
    <row r="129" spans="1:30" s="144" customFormat="1" ht="12" hidden="1" customHeight="1">
      <c r="B129" s="256"/>
      <c r="Q129" s="898"/>
      <c r="R129" s="898"/>
      <c r="S129" s="898"/>
      <c r="T129" s="898"/>
      <c r="U129" s="900"/>
      <c r="AA129" s="137">
        <f t="shared" si="20"/>
        <v>0</v>
      </c>
    </row>
    <row r="130" spans="1:30" s="215" customFormat="1" ht="27.75" customHeight="1">
      <c r="A130" s="1643" t="s">
        <v>583</v>
      </c>
      <c r="B130" s="1643"/>
      <c r="C130" s="1643"/>
      <c r="D130" s="1643"/>
      <c r="E130" s="1643"/>
      <c r="F130" s="1643"/>
      <c r="G130" s="1643"/>
      <c r="H130" s="1643"/>
      <c r="I130" s="1643"/>
      <c r="J130" s="1643"/>
      <c r="K130" s="1643"/>
      <c r="L130" s="1643"/>
      <c r="M130" s="1643"/>
      <c r="N130" s="1643"/>
      <c r="O130" s="1643"/>
      <c r="P130" s="1643"/>
      <c r="Q130" s="898"/>
      <c r="R130" s="898"/>
      <c r="S130" s="898"/>
      <c r="T130" s="898"/>
      <c r="U130" s="899"/>
      <c r="AA130" s="137">
        <f t="shared" si="20"/>
        <v>0</v>
      </c>
    </row>
    <row r="131" spans="1:30" s="144" customFormat="1" ht="12" customHeight="1">
      <c r="B131" s="256"/>
      <c r="Q131" s="898"/>
      <c r="R131" s="898"/>
      <c r="S131" s="898"/>
      <c r="T131" s="898"/>
      <c r="U131" s="900"/>
      <c r="AA131" s="137">
        <f t="shared" si="20"/>
        <v>0</v>
      </c>
    </row>
    <row r="132" spans="1:30" s="144" customFormat="1" ht="15.75" customHeight="1">
      <c r="A132" s="1687" t="s">
        <v>541</v>
      </c>
      <c r="B132" s="1651" t="s">
        <v>430</v>
      </c>
      <c r="C132" s="1892" t="s">
        <v>553</v>
      </c>
      <c r="D132" s="1696"/>
      <c r="E132" s="1923" t="s">
        <v>496</v>
      </c>
      <c r="F132" s="1924"/>
      <c r="G132" s="1924"/>
      <c r="H132" s="1924"/>
      <c r="I132" s="1924"/>
      <c r="J132" s="1924"/>
      <c r="K132" s="1924"/>
      <c r="L132" s="1924"/>
      <c r="M132" s="1924"/>
      <c r="N132" s="1924"/>
      <c r="O132" s="1924"/>
      <c r="P132" s="1925"/>
      <c r="Q132" s="898"/>
      <c r="R132" s="898"/>
      <c r="S132" s="898"/>
      <c r="T132" s="898"/>
      <c r="U132" s="900"/>
      <c r="AA132" s="137">
        <f t="shared" si="20"/>
        <v>0</v>
      </c>
      <c r="AB132" s="137">
        <f>SUM(E135:H137)-SUBTOTAL(109,E135:H137)</f>
        <v>0</v>
      </c>
      <c r="AC132" s="137">
        <f>SUM(I135:L137)-SUBTOTAL(109,I135:L137)</f>
        <v>0</v>
      </c>
      <c r="AD132" s="137">
        <f>SUM(M135:P137)-SUBTOTAL(109,M135:P137)</f>
        <v>0</v>
      </c>
    </row>
    <row r="133" spans="1:30" s="144" customFormat="1" ht="50.25" customHeight="1">
      <c r="A133" s="1688"/>
      <c r="B133" s="1684"/>
      <c r="C133" s="1847"/>
      <c r="D133" s="1698"/>
      <c r="E133" s="1858" t="s">
        <v>1114</v>
      </c>
      <c r="F133" s="1859"/>
      <c r="G133" s="1859"/>
      <c r="H133" s="1887"/>
      <c r="I133" s="1856" t="s">
        <v>1115</v>
      </c>
      <c r="J133" s="1854"/>
      <c r="K133" s="1854"/>
      <c r="L133" s="1855"/>
      <c r="M133" s="1853" t="s">
        <v>1116</v>
      </c>
      <c r="N133" s="1854"/>
      <c r="O133" s="1854"/>
      <c r="P133" s="1855"/>
      <c r="Q133" s="898"/>
      <c r="R133" s="898"/>
      <c r="S133" s="898"/>
      <c r="T133" s="898"/>
      <c r="U133" s="900"/>
      <c r="AA133" s="137">
        <f t="shared" si="20"/>
        <v>0</v>
      </c>
    </row>
    <row r="134" spans="1:30" s="144" customFormat="1">
      <c r="A134" s="359" t="s">
        <v>6</v>
      </c>
      <c r="B134" s="362" t="s">
        <v>7</v>
      </c>
      <c r="C134" s="1653" t="s">
        <v>8</v>
      </c>
      <c r="D134" s="1654"/>
      <c r="E134" s="1916">
        <v>4</v>
      </c>
      <c r="F134" s="1917"/>
      <c r="G134" s="1917"/>
      <c r="H134" s="1896"/>
      <c r="I134" s="1665">
        <v>5</v>
      </c>
      <c r="J134" s="1653"/>
      <c r="K134" s="1653"/>
      <c r="L134" s="1654"/>
      <c r="M134" s="1680">
        <v>6</v>
      </c>
      <c r="N134" s="1653"/>
      <c r="O134" s="1653"/>
      <c r="P134" s="1654"/>
      <c r="Q134" s="898"/>
      <c r="R134" s="898"/>
      <c r="S134" s="898"/>
      <c r="T134" s="898"/>
      <c r="U134" s="900"/>
      <c r="AA134" s="137">
        <f t="shared" si="20"/>
        <v>0</v>
      </c>
    </row>
    <row r="135" spans="1:30" s="122" customFormat="1" ht="27.75" customHeight="1">
      <c r="A135" s="236">
        <v>244</v>
      </c>
      <c r="B135" s="247" t="s">
        <v>6</v>
      </c>
      <c r="C135" s="1810" t="s">
        <v>852</v>
      </c>
      <c r="D135" s="1914"/>
      <c r="E135" s="1672">
        <f>E138</f>
        <v>0</v>
      </c>
      <c r="F135" s="1673"/>
      <c r="G135" s="1673"/>
      <c r="H135" s="1674"/>
      <c r="I135" s="1644">
        <f>F138</f>
        <v>0</v>
      </c>
      <c r="J135" s="1645"/>
      <c r="K135" s="1645"/>
      <c r="L135" s="1648"/>
      <c r="M135" s="1890">
        <f>G138</f>
        <v>0</v>
      </c>
      <c r="N135" s="1645"/>
      <c r="O135" s="1645"/>
      <c r="P135" s="1648"/>
      <c r="Q135" s="898"/>
      <c r="R135" s="898"/>
      <c r="S135" s="898"/>
      <c r="T135" s="898"/>
      <c r="U135" s="900"/>
      <c r="AA135" s="137">
        <f t="shared" si="20"/>
        <v>0</v>
      </c>
    </row>
    <row r="136" spans="1:30" s="122" customFormat="1" ht="27.75" customHeight="1">
      <c r="A136" s="218"/>
      <c r="B136" s="217"/>
      <c r="C136" s="1823"/>
      <c r="D136" s="1891"/>
      <c r="E136" s="1918"/>
      <c r="F136" s="1919"/>
      <c r="G136" s="1919"/>
      <c r="H136" s="1883"/>
      <c r="I136" s="1637"/>
      <c r="J136" s="1638"/>
      <c r="K136" s="1638"/>
      <c r="L136" s="1641"/>
      <c r="M136" s="1710"/>
      <c r="N136" s="1638"/>
      <c r="O136" s="1638"/>
      <c r="P136" s="1641"/>
      <c r="Q136" s="898"/>
      <c r="R136" s="898"/>
      <c r="S136" s="898"/>
      <c r="T136" s="898"/>
      <c r="U136" s="900"/>
      <c r="AA136" s="137">
        <f t="shared" si="20"/>
        <v>0</v>
      </c>
    </row>
    <row r="137" spans="1:30" s="122" customFormat="1" ht="27.75" customHeight="1">
      <c r="A137" s="240"/>
      <c r="B137" s="221"/>
      <c r="C137" s="1819"/>
      <c r="D137" s="1915"/>
      <c r="E137" s="1920"/>
      <c r="F137" s="1921"/>
      <c r="G137" s="1921"/>
      <c r="H137" s="1793"/>
      <c r="I137" s="1889"/>
      <c r="J137" s="1705"/>
      <c r="K137" s="1705"/>
      <c r="L137" s="1712"/>
      <c r="M137" s="1711"/>
      <c r="N137" s="1705"/>
      <c r="O137" s="1705"/>
      <c r="P137" s="1712"/>
      <c r="Q137" s="898"/>
      <c r="R137" s="898"/>
      <c r="S137" s="898"/>
      <c r="T137" s="898"/>
      <c r="U137" s="900"/>
      <c r="AA137" s="137">
        <f t="shared" si="20"/>
        <v>0</v>
      </c>
    </row>
    <row r="138" spans="1:30" s="267" customFormat="1" ht="27.75" customHeight="1">
      <c r="A138" s="258"/>
      <c r="B138" s="261"/>
      <c r="C138" s="1798" t="s">
        <v>554</v>
      </c>
      <c r="D138" s="1922"/>
      <c r="E138" s="1926">
        <f>SUMIFS(Титульный!$O$69:$O$292,Титульный!$K$69:$K$292,'КФО 4'!$Q138,Титульный!$L$69:$L$292,'КФО 4'!$S138,Титульный!$N$69:$N$292,'КФО 4'!$T138)</f>
        <v>0</v>
      </c>
      <c r="F138" s="1707">
        <f>SUMIFS(Титульный!$O$69:$O$292,Титульный!$K$69:$K$292,'КФО 4'!$Q138,Титульный!$L$69:$L$292,'КФО 4'!$S138,Титульный!$N$69:$N$292,'КФО 4'!$T138)</f>
        <v>0</v>
      </c>
      <c r="G138" s="1707">
        <f>SUMIFS(Титульный!$O$69:$O$292,Титульный!$K$69:$K$292,'КФО 4'!$Q138,Титульный!$L$69:$L$292,'КФО 4'!$S138,Титульный!$N$69:$N$292,'КФО 4'!$T138)</f>
        <v>0</v>
      </c>
      <c r="H138" s="1721">
        <f>SUMIFS(Титульный!$O$69:$O$292,Титульный!$K$69:$K$292,'КФО 4'!$Q138,Титульный!$L$69:$L$292,'КФО 4'!$S138,Титульный!$N$69:$N$292,'КФО 4'!$T138)</f>
        <v>0</v>
      </c>
      <c r="I138" s="1666">
        <f>SUMIFS(Титульный!$P$69:$P$292,Титульный!$K$69:$K$292,'КФО 4'!$Q138,Титульный!$L$69:$L$292,'КФО 4'!$S138,Титульный!$N$69:$N$292,'КФО 4'!$T138)</f>
        <v>0</v>
      </c>
      <c r="J138" s="1667">
        <f>SUMIFS(Титульный!$O$69:$O$292,Титульный!$K$69:$K$292,'КФО 4'!$Q138,Титульный!$L$69:$L$292,'КФО 4'!$S138,Титульный!$N$69:$N$292,'КФО 4'!$T138)</f>
        <v>0</v>
      </c>
      <c r="K138" s="1667">
        <f>SUMIFS(Титульный!$O$69:$O$292,Титульный!$K$69:$K$292,'КФО 4'!$Q138,Титульный!$L$69:$L$292,'КФО 4'!$S138,Титульный!$N$69:$N$292,'КФО 4'!$T138)</f>
        <v>0</v>
      </c>
      <c r="L138" s="1800">
        <f>SUMIFS(Титульный!$O$69:$O$292,Титульный!$K$69:$K$292,'КФО 4'!$Q138,Титульный!$L$69:$L$292,'КФО 4'!$S138,Титульный!$N$69:$N$292,'КФО 4'!$T138)</f>
        <v>0</v>
      </c>
      <c r="M138" s="1668">
        <f>SUMIFS(Титульный!$Q$69:$Q$292,Титульный!$K$69:$K$292,'КФО 4'!$Q138,Титульный!$L$69:$L$292,'КФО 4'!$S138,Титульный!$N$69:$N$292,'КФО 4'!$T138)</f>
        <v>0</v>
      </c>
      <c r="N138" s="1667">
        <f>SUMIFS(Титульный!$O$69:$O$292,Титульный!$K$69:$K$292,'КФО 4'!$Q138,Титульный!$L$69:$L$292,'КФО 4'!$S138,Титульный!$N$69:$N$292,'КФО 4'!$T138)</f>
        <v>0</v>
      </c>
      <c r="O138" s="1667">
        <f>SUMIFS(Титульный!$O$69:$O$292,Титульный!$K$69:$K$292,'КФО 4'!$Q138,Титульный!$L$69:$L$292,'КФО 4'!$S138,Титульный!$N$69:$N$292,'КФО 4'!$T138)</f>
        <v>0</v>
      </c>
      <c r="P138" s="1800">
        <f>SUMIFS(Титульный!$O$69:$O$292,Титульный!$K$69:$K$292,'КФО 4'!$Q138,Титульный!$L$69:$L$292,'КФО 4'!$S138,Титульный!$N$69:$N$292,'КФО 4'!$T138)</f>
        <v>0</v>
      </c>
      <c r="Q138" s="898">
        <v>4</v>
      </c>
      <c r="R138" s="898"/>
      <c r="S138" s="898">
        <v>244</v>
      </c>
      <c r="T138" s="898">
        <v>227</v>
      </c>
      <c r="U138" s="898"/>
      <c r="AA138" s="137">
        <f t="shared" si="20"/>
        <v>0</v>
      </c>
    </row>
    <row r="139" spans="1:30" s="144" customFormat="1" ht="12" customHeight="1">
      <c r="B139" s="256"/>
      <c r="Q139" s="898"/>
      <c r="R139" s="898"/>
      <c r="S139" s="898"/>
      <c r="T139" s="898"/>
      <c r="U139" s="900"/>
      <c r="AA139" s="137">
        <f t="shared" si="20"/>
        <v>0</v>
      </c>
    </row>
    <row r="140" spans="1:30" s="144" customFormat="1" ht="12" customHeight="1">
      <c r="B140" s="256"/>
      <c r="Q140" s="898"/>
      <c r="R140" s="898"/>
      <c r="S140" s="898"/>
      <c r="T140" s="898"/>
      <c r="U140" s="900"/>
      <c r="AA140" s="137">
        <f t="shared" si="20"/>
        <v>0</v>
      </c>
    </row>
    <row r="141" spans="1:30" s="144" customFormat="1" ht="12" customHeight="1">
      <c r="B141" s="256"/>
      <c r="Q141" s="898"/>
      <c r="R141" s="898"/>
      <c r="S141" s="898"/>
      <c r="T141" s="898"/>
      <c r="U141" s="900"/>
      <c r="AA141" s="137">
        <f t="shared" si="20"/>
        <v>0</v>
      </c>
    </row>
    <row r="142" spans="1:30" s="215" customFormat="1" ht="27.75" customHeight="1">
      <c r="A142" s="1643" t="s">
        <v>584</v>
      </c>
      <c r="B142" s="1643"/>
      <c r="C142" s="1643"/>
      <c r="D142" s="1643"/>
      <c r="E142" s="1643"/>
      <c r="F142" s="1643"/>
      <c r="G142" s="1643"/>
      <c r="H142" s="1643"/>
      <c r="I142" s="1643"/>
      <c r="J142" s="1643"/>
      <c r="K142" s="1643"/>
      <c r="L142" s="1643"/>
      <c r="M142" s="1643"/>
      <c r="N142" s="1643"/>
      <c r="O142" s="1643"/>
      <c r="P142" s="1643"/>
      <c r="Q142" s="898"/>
      <c r="R142" s="898"/>
      <c r="S142" s="898"/>
      <c r="T142" s="898"/>
      <c r="U142" s="899"/>
      <c r="AA142" s="137">
        <f t="shared" si="20"/>
        <v>0</v>
      </c>
    </row>
    <row r="143" spans="1:30" s="144" customFormat="1" ht="12" customHeight="1">
      <c r="B143" s="256"/>
      <c r="Q143" s="898"/>
      <c r="R143" s="898"/>
      <c r="S143" s="898"/>
      <c r="T143" s="898"/>
      <c r="U143" s="900"/>
      <c r="AA143" s="137">
        <f t="shared" si="20"/>
        <v>0</v>
      </c>
    </row>
    <row r="144" spans="1:30" s="144" customFormat="1" ht="33.75" customHeight="1">
      <c r="A144" s="1687" t="s">
        <v>541</v>
      </c>
      <c r="B144" s="1651" t="s">
        <v>430</v>
      </c>
      <c r="C144" s="1892" t="s">
        <v>553</v>
      </c>
      <c r="D144" s="1696"/>
      <c r="E144" s="1858" t="s">
        <v>1114</v>
      </c>
      <c r="F144" s="1859"/>
      <c r="G144" s="1859"/>
      <c r="H144" s="1887"/>
      <c r="I144" s="1856" t="s">
        <v>1115</v>
      </c>
      <c r="J144" s="1854"/>
      <c r="K144" s="1854"/>
      <c r="L144" s="1855"/>
      <c r="M144" s="1853" t="s">
        <v>1116</v>
      </c>
      <c r="N144" s="1854"/>
      <c r="O144" s="1854"/>
      <c r="P144" s="1855"/>
      <c r="Q144" s="898"/>
      <c r="R144" s="898"/>
      <c r="S144" s="898"/>
      <c r="T144" s="898"/>
      <c r="U144" s="900"/>
      <c r="AA144" s="137">
        <f t="shared" si="20"/>
        <v>0</v>
      </c>
      <c r="AB144" s="137">
        <f>SUM(G147:H149)-SUBTOTAL(109,G147:H149)</f>
        <v>0</v>
      </c>
      <c r="AC144" s="137">
        <f>SUM(K147:L149)-SUBTOTAL(109,K147:L149)</f>
        <v>0</v>
      </c>
      <c r="AD144" s="137">
        <f>SUM(O147:P149)-SUBTOTAL(109,O147:P149)</f>
        <v>0</v>
      </c>
    </row>
    <row r="145" spans="1:30" s="144" customFormat="1" ht="38.25">
      <c r="A145" s="1688"/>
      <c r="B145" s="1684"/>
      <c r="C145" s="1847"/>
      <c r="D145" s="1698"/>
      <c r="E145" s="169" t="s">
        <v>578</v>
      </c>
      <c r="F145" s="171" t="s">
        <v>579</v>
      </c>
      <c r="G145" s="1888" t="s">
        <v>496</v>
      </c>
      <c r="H145" s="1839"/>
      <c r="I145" s="169" t="s">
        <v>578</v>
      </c>
      <c r="J145" s="171" t="s">
        <v>579</v>
      </c>
      <c r="K145" s="1888" t="s">
        <v>496</v>
      </c>
      <c r="L145" s="1839"/>
      <c r="M145" s="169" t="s">
        <v>578</v>
      </c>
      <c r="N145" s="171" t="s">
        <v>579</v>
      </c>
      <c r="O145" s="1888" t="s">
        <v>496</v>
      </c>
      <c r="P145" s="1839"/>
      <c r="Q145" s="898"/>
      <c r="R145" s="898"/>
      <c r="S145" s="898"/>
      <c r="T145" s="898"/>
      <c r="U145" s="900"/>
      <c r="AA145" s="137">
        <f t="shared" si="20"/>
        <v>0</v>
      </c>
    </row>
    <row r="146" spans="1:30" s="144" customFormat="1">
      <c r="A146" s="360" t="s">
        <v>6</v>
      </c>
      <c r="B146" s="208" t="s">
        <v>7</v>
      </c>
      <c r="C146" s="1653" t="s">
        <v>8</v>
      </c>
      <c r="D146" s="1654"/>
      <c r="E146" s="189">
        <v>4</v>
      </c>
      <c r="F146" s="168">
        <v>5</v>
      </c>
      <c r="G146" s="1653" t="s">
        <v>716</v>
      </c>
      <c r="H146" s="1654"/>
      <c r="I146" s="189">
        <v>7</v>
      </c>
      <c r="J146" s="168">
        <v>8</v>
      </c>
      <c r="K146" s="1653" t="s">
        <v>717</v>
      </c>
      <c r="L146" s="1654"/>
      <c r="M146" s="189" t="s">
        <v>413</v>
      </c>
      <c r="N146" s="168" t="s">
        <v>418</v>
      </c>
      <c r="O146" s="1653" t="s">
        <v>499</v>
      </c>
      <c r="P146" s="1654"/>
      <c r="Q146" s="898"/>
      <c r="R146" s="898"/>
      <c r="S146" s="898"/>
      <c r="T146" s="898"/>
      <c r="U146" s="900"/>
      <c r="AA146" s="137">
        <f t="shared" si="20"/>
        <v>0</v>
      </c>
    </row>
    <row r="147" spans="1:30" s="122" customFormat="1" ht="27.75" customHeight="1">
      <c r="A147" s="225">
        <v>244</v>
      </c>
      <c r="B147" s="226"/>
      <c r="C147" s="1810"/>
      <c r="D147" s="1914"/>
      <c r="E147" s="1247"/>
      <c r="F147" s="1241">
        <f t="shared" ref="F147:F149" si="21">IFERROR(ROUND(G147/E147,2),0)</f>
        <v>0</v>
      </c>
      <c r="G147" s="1638">
        <f>G150</f>
        <v>0</v>
      </c>
      <c r="H147" s="1641"/>
      <c r="I147" s="1247"/>
      <c r="J147" s="1241">
        <f t="shared" ref="J147:J149" si="22">IFERROR(ROUND(K147/I147,2),0)</f>
        <v>0</v>
      </c>
      <c r="K147" s="1638">
        <f>K150</f>
        <v>0</v>
      </c>
      <c r="L147" s="1641"/>
      <c r="M147" s="1247"/>
      <c r="N147" s="1241">
        <f t="shared" ref="N147:N149" si="23">IFERROR(ROUND(O147/M147,2),0)</f>
        <v>0</v>
      </c>
      <c r="O147" s="1638">
        <f>O150</f>
        <v>0</v>
      </c>
      <c r="P147" s="1641"/>
      <c r="Q147" s="898"/>
      <c r="R147" s="898"/>
      <c r="S147" s="898"/>
      <c r="T147" s="898"/>
      <c r="U147" s="900"/>
      <c r="AA147" s="137">
        <f t="shared" si="20"/>
        <v>0</v>
      </c>
    </row>
    <row r="148" spans="1:30" s="122" customFormat="1" ht="27.75" customHeight="1">
      <c r="A148" s="218">
        <v>244</v>
      </c>
      <c r="B148" s="217"/>
      <c r="C148" s="1823"/>
      <c r="D148" s="1891"/>
      <c r="E148" s="1247"/>
      <c r="F148" s="1241">
        <f t="shared" si="21"/>
        <v>0</v>
      </c>
      <c r="G148" s="1638"/>
      <c r="H148" s="1641"/>
      <c r="I148" s="1247"/>
      <c r="J148" s="1241">
        <f t="shared" si="22"/>
        <v>0</v>
      </c>
      <c r="K148" s="1638"/>
      <c r="L148" s="1641"/>
      <c r="M148" s="1247"/>
      <c r="N148" s="1241">
        <f t="shared" si="23"/>
        <v>0</v>
      </c>
      <c r="O148" s="1638"/>
      <c r="P148" s="1641"/>
      <c r="Q148" s="898"/>
      <c r="R148" s="898"/>
      <c r="S148" s="898"/>
      <c r="T148" s="898"/>
      <c r="U148" s="900"/>
      <c r="AA148" s="137">
        <f t="shared" si="20"/>
        <v>0</v>
      </c>
    </row>
    <row r="149" spans="1:30" s="122" customFormat="1" ht="27.75" customHeight="1">
      <c r="A149" s="243">
        <v>244</v>
      </c>
      <c r="B149" s="246"/>
      <c r="C149" s="1819"/>
      <c r="D149" s="1915"/>
      <c r="E149" s="1258"/>
      <c r="F149" s="1244">
        <f t="shared" si="21"/>
        <v>0</v>
      </c>
      <c r="G149" s="1705"/>
      <c r="H149" s="1712"/>
      <c r="I149" s="1258"/>
      <c r="J149" s="1244">
        <f t="shared" si="22"/>
        <v>0</v>
      </c>
      <c r="K149" s="1705"/>
      <c r="L149" s="1712"/>
      <c r="M149" s="1258"/>
      <c r="N149" s="1244">
        <f t="shared" si="23"/>
        <v>0</v>
      </c>
      <c r="O149" s="1705"/>
      <c r="P149" s="1712"/>
      <c r="Q149" s="898"/>
      <c r="R149" s="898"/>
      <c r="S149" s="898"/>
      <c r="T149" s="898"/>
      <c r="U149" s="900"/>
      <c r="AA149" s="137">
        <f t="shared" si="20"/>
        <v>0</v>
      </c>
    </row>
    <row r="150" spans="1:30" s="267" customFormat="1" ht="27.75" customHeight="1">
      <c r="A150" s="263"/>
      <c r="B150" s="265"/>
      <c r="C150" s="1897" t="s">
        <v>554</v>
      </c>
      <c r="D150" s="1898"/>
      <c r="E150" s="736" t="s">
        <v>412</v>
      </c>
      <c r="F150" s="734" t="s">
        <v>412</v>
      </c>
      <c r="G150" s="1667">
        <f>SUMIFS(Титульный!$O$69:$O$292,Титульный!$K$69:$K$292,'КФО 4'!$Q150,Титульный!$L$69:$L$292,'КФО 4'!$S150,Титульный!$N$69:$N$292,'КФО 4'!$T150)</f>
        <v>0</v>
      </c>
      <c r="H150" s="1800">
        <f>SUMIFS(Титульный!$O$69:$O$292,Титульный!$K$69:$K$292,'КФО 4'!$Q150,Титульный!$L$69:$L$292,'КФО 4'!$S150,Титульный!$N$69:$N$292,'КФО 4'!$T150)</f>
        <v>0</v>
      </c>
      <c r="I150" s="736" t="s">
        <v>412</v>
      </c>
      <c r="J150" s="734" t="s">
        <v>412</v>
      </c>
      <c r="K150" s="1886">
        <f>SUMIFS(Титульный!$P$69:$P$292,
Титульный!$K$69:$K$292,'КФО 4'!$Q150,
Титульный!$L$69:$L$292,'КФО 4'!$S150,
Титульный!$N$69:$N$292,'КФО 4'!$T150)</f>
        <v>0</v>
      </c>
      <c r="L150" s="1800">
        <f>SUMIFS(Титульный!$P$69:$P$292,
Титульный!$K$69:$K$292,'КФО 4'!$Q150,
Титульный!$L$69:$L$292,'КФО 4'!$S150,
Титульный!$N$69:$N$292,'КФО 4'!$T150)</f>
        <v>0</v>
      </c>
      <c r="M150" s="736" t="s">
        <v>412</v>
      </c>
      <c r="N150" s="734" t="s">
        <v>412</v>
      </c>
      <c r="O150" s="1886">
        <f>SUMIFS(Титульный!$Q$69:$Q$292,
Титульный!$K$69:$K$292,'КФО 4'!$Q150,
Титульный!$L$69:$L$292,'КФО 4'!$S150,
Титульный!$N$69:$N$292,'КФО 4'!$T150)</f>
        <v>0</v>
      </c>
      <c r="P150" s="1800">
        <f>SUMIFS(Титульный!$Q$69:$Q$292,
Титульный!$K$69:$K$292,'КФО 4'!$Q150,
Титульный!$L$69:$L$292,'КФО 4'!$S150,
Титульный!$N$69:$N$292,'КФО 4'!$T150)</f>
        <v>0</v>
      </c>
      <c r="Q150" s="898">
        <v>4</v>
      </c>
      <c r="R150" s="898"/>
      <c r="S150" s="898">
        <v>244</v>
      </c>
      <c r="T150" s="898">
        <v>228</v>
      </c>
      <c r="U150" s="898"/>
      <c r="AA150" s="137">
        <f t="shared" si="20"/>
        <v>0</v>
      </c>
    </row>
    <row r="151" spans="1:30" s="144" customFormat="1" ht="12" customHeight="1">
      <c r="B151" s="256"/>
      <c r="Q151" s="898"/>
      <c r="R151" s="898"/>
      <c r="S151" s="898"/>
      <c r="T151" s="898"/>
      <c r="U151" s="900"/>
      <c r="AA151" s="137">
        <f t="shared" si="20"/>
        <v>0</v>
      </c>
    </row>
    <row r="152" spans="1:30" s="144" customFormat="1" ht="12" hidden="1" customHeight="1">
      <c r="B152" s="256"/>
      <c r="Q152" s="898"/>
      <c r="R152" s="898"/>
      <c r="S152" s="898"/>
      <c r="T152" s="898"/>
      <c r="U152" s="900"/>
      <c r="AA152" s="137">
        <f t="shared" si="20"/>
        <v>0</v>
      </c>
    </row>
    <row r="153" spans="1:30" s="144" customFormat="1" ht="12" hidden="1" customHeight="1">
      <c r="B153" s="256"/>
      <c r="Q153" s="898"/>
      <c r="R153" s="898"/>
      <c r="S153" s="898"/>
      <c r="T153" s="898"/>
      <c r="U153" s="900"/>
      <c r="AA153" s="137">
        <f t="shared" si="20"/>
        <v>0</v>
      </c>
    </row>
    <row r="154" spans="1:30" s="215" customFormat="1" ht="27.75" customHeight="1">
      <c r="A154" s="1643" t="s">
        <v>585</v>
      </c>
      <c r="B154" s="1643"/>
      <c r="C154" s="1643"/>
      <c r="D154" s="1643"/>
      <c r="E154" s="1643"/>
      <c r="F154" s="1643"/>
      <c r="G154" s="1643"/>
      <c r="H154" s="1643"/>
      <c r="I154" s="1643"/>
      <c r="J154" s="1643"/>
      <c r="K154" s="1643"/>
      <c r="L154" s="1643"/>
      <c r="M154" s="1643"/>
      <c r="N154" s="1643"/>
      <c r="O154" s="1643"/>
      <c r="P154" s="1643"/>
      <c r="Q154" s="898"/>
      <c r="R154" s="898"/>
      <c r="S154" s="898"/>
      <c r="T154" s="898"/>
      <c r="U154" s="899"/>
      <c r="AA154" s="137">
        <f t="shared" si="20"/>
        <v>0</v>
      </c>
    </row>
    <row r="155" spans="1:30" s="195" customFormat="1" ht="12" customHeight="1">
      <c r="B155" s="256"/>
      <c r="Q155" s="898"/>
      <c r="R155" s="898"/>
      <c r="S155" s="898"/>
      <c r="T155" s="898"/>
      <c r="U155" s="900"/>
      <c r="AA155" s="137">
        <f t="shared" si="20"/>
        <v>0</v>
      </c>
    </row>
    <row r="156" spans="1:30" s="195" customFormat="1" ht="33" customHeight="1">
      <c r="A156" s="1687" t="s">
        <v>541</v>
      </c>
      <c r="B156" s="1651" t="s">
        <v>430</v>
      </c>
      <c r="C156" s="1892" t="s">
        <v>553</v>
      </c>
      <c r="D156" s="1696"/>
      <c r="E156" s="1858" t="s">
        <v>1114</v>
      </c>
      <c r="F156" s="1859"/>
      <c r="G156" s="1859"/>
      <c r="H156" s="1887"/>
      <c r="I156" s="1856" t="s">
        <v>1115</v>
      </c>
      <c r="J156" s="1854"/>
      <c r="K156" s="1854"/>
      <c r="L156" s="1855"/>
      <c r="M156" s="1853" t="s">
        <v>1116</v>
      </c>
      <c r="N156" s="1854"/>
      <c r="O156" s="1854"/>
      <c r="P156" s="1855"/>
      <c r="Q156" s="898"/>
      <c r="R156" s="898"/>
      <c r="S156" s="898"/>
      <c r="T156" s="898"/>
      <c r="U156" s="900"/>
      <c r="AA156" s="137">
        <f t="shared" si="20"/>
        <v>0</v>
      </c>
      <c r="AB156" s="137">
        <f>SUM(G159:H168)-SUBTOTAL(109,G159:H168)</f>
        <v>0</v>
      </c>
      <c r="AC156" s="137">
        <f>SUM(K159:L168)-SUBTOTAL(109,K159:L168)</f>
        <v>0</v>
      </c>
      <c r="AD156" s="137">
        <f>SUM(O159:P168)-SUBTOTAL(109,O159:P168)</f>
        <v>0</v>
      </c>
    </row>
    <row r="157" spans="1:30" s="195" customFormat="1" ht="38.25">
      <c r="A157" s="1688"/>
      <c r="B157" s="1684"/>
      <c r="C157" s="1847"/>
      <c r="D157" s="1698"/>
      <c r="E157" s="169" t="s">
        <v>729</v>
      </c>
      <c r="F157" s="201" t="s">
        <v>730</v>
      </c>
      <c r="G157" s="1888" t="s">
        <v>496</v>
      </c>
      <c r="H157" s="1839"/>
      <c r="I157" s="169" t="s">
        <v>729</v>
      </c>
      <c r="J157" s="201" t="s">
        <v>730</v>
      </c>
      <c r="K157" s="1888" t="s">
        <v>496</v>
      </c>
      <c r="L157" s="1839"/>
      <c r="M157" s="169" t="s">
        <v>729</v>
      </c>
      <c r="N157" s="201" t="s">
        <v>730</v>
      </c>
      <c r="O157" s="1888" t="s">
        <v>496</v>
      </c>
      <c r="P157" s="1839"/>
      <c r="Q157" s="898"/>
      <c r="R157" s="898"/>
      <c r="S157" s="898"/>
      <c r="T157" s="898"/>
      <c r="U157" s="900"/>
      <c r="AA157" s="137">
        <f t="shared" ref="AA157:AA186" si="24">SUM(AB157:BD157)</f>
        <v>0</v>
      </c>
    </row>
    <row r="158" spans="1:30" s="195" customFormat="1">
      <c r="A158" s="157" t="s">
        <v>6</v>
      </c>
      <c r="B158" s="366" t="s">
        <v>7</v>
      </c>
      <c r="C158" s="1653" t="s">
        <v>8</v>
      </c>
      <c r="D158" s="1654"/>
      <c r="E158" s="189">
        <v>4</v>
      </c>
      <c r="F158" s="168">
        <v>5</v>
      </c>
      <c r="G158" s="1653" t="s">
        <v>716</v>
      </c>
      <c r="H158" s="1654"/>
      <c r="I158" s="189">
        <v>7</v>
      </c>
      <c r="J158" s="168">
        <v>8</v>
      </c>
      <c r="K158" s="1653" t="s">
        <v>717</v>
      </c>
      <c r="L158" s="1654"/>
      <c r="M158" s="189" t="s">
        <v>413</v>
      </c>
      <c r="N158" s="168" t="s">
        <v>418</v>
      </c>
      <c r="O158" s="1653" t="s">
        <v>499</v>
      </c>
      <c r="P158" s="1654"/>
      <c r="Q158" s="898"/>
      <c r="R158" s="898"/>
      <c r="S158" s="898"/>
      <c r="T158" s="898"/>
      <c r="U158" s="900"/>
      <c r="AA158" s="137">
        <f t="shared" si="24"/>
        <v>0</v>
      </c>
    </row>
    <row r="159" spans="1:30" s="122" customFormat="1" ht="27.75" customHeight="1">
      <c r="A159" s="225">
        <v>244</v>
      </c>
      <c r="B159" s="254"/>
      <c r="C159" s="1810" t="s">
        <v>676</v>
      </c>
      <c r="D159" s="1914"/>
      <c r="E159" s="1247"/>
      <c r="F159" s="1241">
        <f t="shared" ref="F159:F167" si="25">IFERROR(ROUND(G159/E159,2),0)</f>
        <v>0</v>
      </c>
      <c r="G159" s="1882"/>
      <c r="H159" s="1883"/>
      <c r="I159" s="1247"/>
      <c r="J159" s="1241">
        <f t="shared" ref="J159:J167" si="26">IFERROR(ROUND(K159/I159,2),0)</f>
        <v>0</v>
      </c>
      <c r="K159" s="1882"/>
      <c r="L159" s="1883"/>
      <c r="M159" s="1247"/>
      <c r="N159" s="1241">
        <f t="shared" ref="N159:N167" si="27">IFERROR(ROUND(O159/M159,2),0)</f>
        <v>0</v>
      </c>
      <c r="O159" s="1882"/>
      <c r="P159" s="1883"/>
      <c r="Q159" s="898"/>
      <c r="R159" s="898"/>
      <c r="S159" s="898"/>
      <c r="T159" s="898"/>
      <c r="U159" s="900"/>
      <c r="AA159" s="137">
        <f t="shared" si="24"/>
        <v>0</v>
      </c>
    </row>
    <row r="160" spans="1:30" s="122" customFormat="1" ht="33.6" customHeight="1">
      <c r="A160" s="218">
        <v>244</v>
      </c>
      <c r="B160" s="216"/>
      <c r="C160" s="1810" t="s">
        <v>677</v>
      </c>
      <c r="D160" s="1914"/>
      <c r="E160" s="1247"/>
      <c r="F160" s="1241">
        <f t="shared" si="25"/>
        <v>0</v>
      </c>
      <c r="G160" s="1882"/>
      <c r="H160" s="1883"/>
      <c r="I160" s="1247"/>
      <c r="J160" s="1241">
        <f t="shared" si="26"/>
        <v>0</v>
      </c>
      <c r="K160" s="1882"/>
      <c r="L160" s="1883"/>
      <c r="M160" s="1247"/>
      <c r="N160" s="1241">
        <f t="shared" si="27"/>
        <v>0</v>
      </c>
      <c r="O160" s="1882"/>
      <c r="P160" s="1883"/>
      <c r="Q160" s="898"/>
      <c r="R160" s="898"/>
      <c r="S160" s="898"/>
      <c r="T160" s="898"/>
      <c r="U160" s="900"/>
      <c r="AA160" s="137">
        <f t="shared" si="24"/>
        <v>0</v>
      </c>
    </row>
    <row r="161" spans="1:30" s="122" customFormat="1" ht="27.75" customHeight="1">
      <c r="A161" s="218">
        <v>244</v>
      </c>
      <c r="B161" s="216"/>
      <c r="C161" s="1810" t="s">
        <v>678</v>
      </c>
      <c r="D161" s="1914"/>
      <c r="E161" s="1247"/>
      <c r="F161" s="1241">
        <f t="shared" si="25"/>
        <v>0</v>
      </c>
      <c r="G161" s="1882"/>
      <c r="H161" s="1883"/>
      <c r="I161" s="1247"/>
      <c r="J161" s="1241">
        <f t="shared" si="26"/>
        <v>0</v>
      </c>
      <c r="K161" s="1882"/>
      <c r="L161" s="1883"/>
      <c r="M161" s="1247"/>
      <c r="N161" s="1241">
        <f t="shared" si="27"/>
        <v>0</v>
      </c>
      <c r="O161" s="1882"/>
      <c r="P161" s="1883"/>
      <c r="Q161" s="898"/>
      <c r="R161" s="898"/>
      <c r="S161" s="898"/>
      <c r="T161" s="898"/>
      <c r="U161" s="900"/>
      <c r="AA161" s="137">
        <f t="shared" si="24"/>
        <v>0</v>
      </c>
    </row>
    <row r="162" spans="1:30" s="122" customFormat="1" ht="27.75" customHeight="1">
      <c r="A162" s="218">
        <v>244</v>
      </c>
      <c r="B162" s="216"/>
      <c r="C162" s="1810" t="s">
        <v>679</v>
      </c>
      <c r="D162" s="1914"/>
      <c r="E162" s="1247"/>
      <c r="F162" s="1241">
        <f t="shared" si="25"/>
        <v>0</v>
      </c>
      <c r="G162" s="1882"/>
      <c r="H162" s="1883"/>
      <c r="I162" s="1247"/>
      <c r="J162" s="1241">
        <f t="shared" si="26"/>
        <v>0</v>
      </c>
      <c r="K162" s="1882"/>
      <c r="L162" s="1883"/>
      <c r="M162" s="1247"/>
      <c r="N162" s="1241">
        <f t="shared" si="27"/>
        <v>0</v>
      </c>
      <c r="O162" s="1882"/>
      <c r="P162" s="1883"/>
      <c r="Q162" s="898"/>
      <c r="R162" s="898"/>
      <c r="S162" s="898"/>
      <c r="T162" s="898"/>
      <c r="U162" s="900"/>
      <c r="AA162" s="137">
        <f t="shared" si="24"/>
        <v>0</v>
      </c>
    </row>
    <row r="163" spans="1:30" s="122" customFormat="1" ht="27.75" customHeight="1">
      <c r="A163" s="218">
        <v>244</v>
      </c>
      <c r="B163" s="216"/>
      <c r="C163" s="1810" t="s">
        <v>742</v>
      </c>
      <c r="D163" s="1914"/>
      <c r="E163" s="1247"/>
      <c r="F163" s="1241">
        <f t="shared" si="25"/>
        <v>0</v>
      </c>
      <c r="G163" s="1882"/>
      <c r="H163" s="1883"/>
      <c r="I163" s="1247"/>
      <c r="J163" s="1241">
        <f t="shared" si="26"/>
        <v>0</v>
      </c>
      <c r="K163" s="1882"/>
      <c r="L163" s="1883"/>
      <c r="M163" s="1247"/>
      <c r="N163" s="1241">
        <f t="shared" si="27"/>
        <v>0</v>
      </c>
      <c r="O163" s="1882"/>
      <c r="P163" s="1883"/>
      <c r="Q163" s="898"/>
      <c r="R163" s="898"/>
      <c r="S163" s="898"/>
      <c r="T163" s="898"/>
      <c r="U163" s="900"/>
      <c r="AA163" s="137">
        <f t="shared" si="24"/>
        <v>0</v>
      </c>
    </row>
    <row r="164" spans="1:30" s="122" customFormat="1" ht="27.75" customHeight="1">
      <c r="A164" s="218">
        <v>244</v>
      </c>
      <c r="B164" s="216"/>
      <c r="C164" s="1810" t="s">
        <v>680</v>
      </c>
      <c r="D164" s="1914"/>
      <c r="E164" s="1247"/>
      <c r="F164" s="1241">
        <f t="shared" si="25"/>
        <v>0</v>
      </c>
      <c r="G164" s="1882"/>
      <c r="H164" s="1883"/>
      <c r="I164" s="1247"/>
      <c r="J164" s="1241">
        <f t="shared" si="26"/>
        <v>0</v>
      </c>
      <c r="K164" s="1882"/>
      <c r="L164" s="1883"/>
      <c r="M164" s="1247"/>
      <c r="N164" s="1241">
        <f t="shared" si="27"/>
        <v>0</v>
      </c>
      <c r="O164" s="1882"/>
      <c r="P164" s="1883"/>
      <c r="Q164" s="898"/>
      <c r="R164" s="898"/>
      <c r="S164" s="898"/>
      <c r="T164" s="898"/>
      <c r="U164" s="900"/>
      <c r="AA164" s="137">
        <f t="shared" si="24"/>
        <v>0</v>
      </c>
    </row>
    <row r="165" spans="1:30" s="122" customFormat="1" ht="27.75" customHeight="1">
      <c r="A165" s="218">
        <v>244</v>
      </c>
      <c r="B165" s="216"/>
      <c r="C165" s="1810" t="s">
        <v>681</v>
      </c>
      <c r="D165" s="1914"/>
      <c r="E165" s="1247"/>
      <c r="F165" s="1241">
        <f t="shared" si="25"/>
        <v>0</v>
      </c>
      <c r="G165" s="1882"/>
      <c r="H165" s="1883"/>
      <c r="I165" s="1247"/>
      <c r="J165" s="1241">
        <f t="shared" si="26"/>
        <v>0</v>
      </c>
      <c r="K165" s="1882"/>
      <c r="L165" s="1883"/>
      <c r="M165" s="1247"/>
      <c r="N165" s="1241">
        <f t="shared" si="27"/>
        <v>0</v>
      </c>
      <c r="O165" s="1882"/>
      <c r="P165" s="1883"/>
      <c r="Q165" s="898"/>
      <c r="R165" s="898"/>
      <c r="S165" s="898"/>
      <c r="T165" s="898"/>
      <c r="U165" s="900"/>
      <c r="AA165" s="137">
        <f t="shared" si="24"/>
        <v>0</v>
      </c>
    </row>
    <row r="166" spans="1:30" s="122" customFormat="1" ht="27.75" customHeight="1">
      <c r="A166" s="218">
        <v>244</v>
      </c>
      <c r="B166" s="216"/>
      <c r="C166" s="1810" t="s">
        <v>682</v>
      </c>
      <c r="D166" s="1914"/>
      <c r="E166" s="1247"/>
      <c r="F166" s="1241">
        <f t="shared" si="25"/>
        <v>0</v>
      </c>
      <c r="G166" s="1882"/>
      <c r="H166" s="1883"/>
      <c r="I166" s="1247"/>
      <c r="J166" s="1241">
        <f t="shared" si="26"/>
        <v>0</v>
      </c>
      <c r="K166" s="1882"/>
      <c r="L166" s="1883"/>
      <c r="M166" s="1247"/>
      <c r="N166" s="1241">
        <f t="shared" si="27"/>
        <v>0</v>
      </c>
      <c r="O166" s="1882"/>
      <c r="P166" s="1883"/>
      <c r="Q166" s="898"/>
      <c r="R166" s="898"/>
      <c r="S166" s="898"/>
      <c r="T166" s="898"/>
      <c r="U166" s="900"/>
      <c r="AA166" s="137">
        <f t="shared" si="24"/>
        <v>0</v>
      </c>
    </row>
    <row r="167" spans="1:30" s="122" customFormat="1" ht="27.75" customHeight="1">
      <c r="A167" s="218">
        <v>244</v>
      </c>
      <c r="B167" s="216"/>
      <c r="C167" s="1810" t="s">
        <v>683</v>
      </c>
      <c r="D167" s="1914"/>
      <c r="E167" s="1247"/>
      <c r="F167" s="1241">
        <f t="shared" si="25"/>
        <v>0</v>
      </c>
      <c r="G167" s="1882"/>
      <c r="H167" s="1883"/>
      <c r="I167" s="1247"/>
      <c r="J167" s="1241">
        <f t="shared" si="26"/>
        <v>0</v>
      </c>
      <c r="K167" s="1882"/>
      <c r="L167" s="1883"/>
      <c r="M167" s="1247"/>
      <c r="N167" s="1241">
        <f t="shared" si="27"/>
        <v>0</v>
      </c>
      <c r="O167" s="1882"/>
      <c r="P167" s="1883"/>
      <c r="Q167" s="898"/>
      <c r="R167" s="898"/>
      <c r="S167" s="898"/>
      <c r="T167" s="898"/>
      <c r="U167" s="900"/>
      <c r="AA167" s="137">
        <f t="shared" si="24"/>
        <v>0</v>
      </c>
    </row>
    <row r="168" spans="1:30" s="122" customFormat="1" ht="27.75" customHeight="1">
      <c r="A168" s="243">
        <v>244</v>
      </c>
      <c r="B168" s="252"/>
      <c r="C168" s="1810" t="s">
        <v>684</v>
      </c>
      <c r="D168" s="1914"/>
      <c r="E168" s="1247">
        <f>ROUNDUP(G168/5000,0)</f>
        <v>629</v>
      </c>
      <c r="F168" s="1241">
        <f>IFERROR(ROUND(G168/E168,2),0)</f>
        <v>4994.21</v>
      </c>
      <c r="G168" s="1792">
        <f>G169-SUM(G159:H167)</f>
        <v>3141360</v>
      </c>
      <c r="H168" s="1793"/>
      <c r="I168" s="1247">
        <f>ROUNDUP(K168/5000,0)</f>
        <v>618</v>
      </c>
      <c r="J168" s="1241">
        <f>IFERROR(ROUND(K168/I168,2),0)</f>
        <v>4994</v>
      </c>
      <c r="K168" s="1638">
        <f>K169-SUM(K159:L167)</f>
        <v>3086295</v>
      </c>
      <c r="L168" s="1641"/>
      <c r="M168" s="1247">
        <f>ROUNDUP(O168/5000,0)</f>
        <v>618</v>
      </c>
      <c r="N168" s="1241">
        <f>IFERROR(ROUND(O168/M168,2),0)</f>
        <v>4994</v>
      </c>
      <c r="O168" s="1638">
        <f>O169-SUM(O159:P167)</f>
        <v>3086295</v>
      </c>
      <c r="P168" s="1641"/>
      <c r="Q168" s="898"/>
      <c r="R168" s="898"/>
      <c r="S168" s="898"/>
      <c r="T168" s="898"/>
      <c r="U168" s="900"/>
      <c r="AA168" s="137">
        <f t="shared" si="24"/>
        <v>0</v>
      </c>
    </row>
    <row r="169" spans="1:30" s="267" customFormat="1" ht="27.75" customHeight="1">
      <c r="A169" s="258"/>
      <c r="B169" s="261"/>
      <c r="C169" s="1897" t="s">
        <v>554</v>
      </c>
      <c r="D169" s="1898"/>
      <c r="E169" s="736" t="s">
        <v>412</v>
      </c>
      <c r="F169" s="734" t="s">
        <v>412</v>
      </c>
      <c r="G169" s="1667">
        <f>SUMIFS(Титульный!$O$69:$O$292,Титульный!$K$69:$K$292,'КФО 4'!$Q169,Титульный!$L$69:$L$292,'КФО 4'!$S169,Титульный!$N$69:$N$292,'КФО 4'!$T169)</f>
        <v>3141360</v>
      </c>
      <c r="H169" s="1800">
        <f>SUMIFS(Титульный!$O$69:$O$292,Титульный!$K$69:$K$292,'КФО 2'!$Q164,Титульный!$L$69:$L$292,'КФО 2'!$R164,Титульный!$N$69:$N$292,'КФО 2'!$S164)</f>
        <v>0</v>
      </c>
      <c r="I169" s="736" t="s">
        <v>412</v>
      </c>
      <c r="J169" s="734" t="s">
        <v>412</v>
      </c>
      <c r="K169" s="1886">
        <f>SUMIFS(Титульный!$P$69:$P$292,
Титульный!$K$69:$K$292,'КФО 4'!$Q169,
Титульный!$L$69:$L$292,'КФО 4'!$S169,
Титульный!$N$69:$N$292,'КФО 4'!$T169)</f>
        <v>3086295</v>
      </c>
      <c r="L169" s="1800">
        <f>SUMIFS(Титульный!$P$69:$P$292,
Титульный!$K$69:$K$292,'КФО 2'!$Q164,
Титульный!$L$69:$L$292,'КФО 2'!$R164,
Титульный!$N$69:$N$292,'КФО 2'!$S164)</f>
        <v>0</v>
      </c>
      <c r="M169" s="736" t="s">
        <v>412</v>
      </c>
      <c r="N169" s="734" t="s">
        <v>412</v>
      </c>
      <c r="O169" s="1886">
        <f>SUMIFS(Титульный!$Q$69:$Q$292,
Титульный!$K$69:$K$292,'КФО 4'!$Q169,
Титульный!$L$69:$L$292,'КФО 4'!$S169,
Титульный!$N$69:$N$292,'КФО 4'!$T169)</f>
        <v>3086295</v>
      </c>
      <c r="P169" s="1800">
        <f>SUMIFS(Титульный!$Q$69:$Q$292,
Титульный!$K$69:$K$292,'КФО 2'!$Q164,
Титульный!$L$69:$L$292,'КФО 2'!$R164,
Титульный!$N$69:$N$292,'КФО 2'!$S164)</f>
        <v>0</v>
      </c>
      <c r="Q169" s="898">
        <v>4</v>
      </c>
      <c r="R169" s="898"/>
      <c r="S169" s="898">
        <v>244</v>
      </c>
      <c r="T169" s="898">
        <v>310</v>
      </c>
      <c r="U169" s="898"/>
      <c r="AA169" s="137">
        <f t="shared" si="24"/>
        <v>0</v>
      </c>
    </row>
    <row r="170" spans="1:30" s="195" customFormat="1" ht="12" customHeight="1">
      <c r="B170" s="256"/>
      <c r="Q170" s="898"/>
      <c r="R170" s="898"/>
      <c r="S170" s="898"/>
      <c r="T170" s="898"/>
      <c r="U170" s="900"/>
      <c r="AA170" s="137">
        <f t="shared" si="24"/>
        <v>0</v>
      </c>
    </row>
    <row r="171" spans="1:30" s="195" customFormat="1" ht="12" hidden="1" customHeight="1">
      <c r="B171" s="256"/>
      <c r="Q171" s="898"/>
      <c r="R171" s="898"/>
      <c r="S171" s="898"/>
      <c r="T171" s="898"/>
      <c r="U171" s="900"/>
      <c r="AA171" s="137">
        <f t="shared" si="24"/>
        <v>0</v>
      </c>
    </row>
    <row r="172" spans="1:30" s="195" customFormat="1" ht="12" hidden="1" customHeight="1">
      <c r="B172" s="256"/>
      <c r="Q172" s="898"/>
      <c r="R172" s="898"/>
      <c r="S172" s="898"/>
      <c r="T172" s="898"/>
      <c r="U172" s="900"/>
      <c r="AA172" s="137">
        <f t="shared" si="24"/>
        <v>0</v>
      </c>
    </row>
    <row r="173" spans="1:30" s="215" customFormat="1" ht="27.75" customHeight="1">
      <c r="A173" s="1643" t="s">
        <v>586</v>
      </c>
      <c r="B173" s="1643"/>
      <c r="C173" s="1643"/>
      <c r="D173" s="1643"/>
      <c r="E173" s="1643"/>
      <c r="F173" s="1643"/>
      <c r="G173" s="1643"/>
      <c r="H173" s="1643"/>
      <c r="I173" s="1643"/>
      <c r="J173" s="1643"/>
      <c r="K173" s="1643"/>
      <c r="L173" s="1643"/>
      <c r="M173" s="1643"/>
      <c r="N173" s="1643"/>
      <c r="O173" s="1643"/>
      <c r="P173" s="1643"/>
      <c r="Q173" s="898"/>
      <c r="R173" s="898"/>
      <c r="S173" s="898"/>
      <c r="T173" s="898"/>
      <c r="U173" s="899"/>
      <c r="AA173" s="137">
        <f t="shared" si="24"/>
        <v>0</v>
      </c>
    </row>
    <row r="174" spans="1:30" s="195" customFormat="1" ht="12" customHeight="1">
      <c r="B174" s="256"/>
      <c r="Q174" s="898"/>
      <c r="R174" s="898"/>
      <c r="S174" s="898"/>
      <c r="T174" s="898"/>
      <c r="U174" s="900"/>
      <c r="AA174" s="137">
        <f t="shared" si="24"/>
        <v>0</v>
      </c>
    </row>
    <row r="175" spans="1:30" s="195" customFormat="1" ht="33" customHeight="1">
      <c r="A175" s="1687" t="s">
        <v>541</v>
      </c>
      <c r="B175" s="1651" t="s">
        <v>430</v>
      </c>
      <c r="C175" s="1892" t="s">
        <v>0</v>
      </c>
      <c r="D175" s="1696" t="s">
        <v>211</v>
      </c>
      <c r="E175" s="1858" t="s">
        <v>1114</v>
      </c>
      <c r="F175" s="1859"/>
      <c r="G175" s="1859"/>
      <c r="H175" s="1887"/>
      <c r="I175" s="1856" t="s">
        <v>1115</v>
      </c>
      <c r="J175" s="1854"/>
      <c r="K175" s="1854"/>
      <c r="L175" s="1855"/>
      <c r="M175" s="1853" t="s">
        <v>1116</v>
      </c>
      <c r="N175" s="1854"/>
      <c r="O175" s="1854"/>
      <c r="P175" s="1855"/>
      <c r="Q175" s="898"/>
      <c r="R175" s="898"/>
      <c r="S175" s="898"/>
      <c r="T175" s="898"/>
      <c r="U175" s="900"/>
      <c r="AA175" s="137">
        <f t="shared" si="24"/>
        <v>0</v>
      </c>
      <c r="AB175" s="137">
        <f>SUM(G178:H185)-SUBTOTAL(109,G178:H185)</f>
        <v>0</v>
      </c>
      <c r="AC175" s="137">
        <f>SUM(K178:L185)-SUBTOTAL(109,K178:L185)</f>
        <v>0</v>
      </c>
      <c r="AD175" s="137">
        <f>SUM(O178:P185)-SUBTOTAL(109,O178:P185)</f>
        <v>0</v>
      </c>
    </row>
    <row r="176" spans="1:30" s="195" customFormat="1" ht="25.5">
      <c r="A176" s="1688"/>
      <c r="B176" s="1684"/>
      <c r="C176" s="1847"/>
      <c r="D176" s="1698"/>
      <c r="E176" s="169" t="s">
        <v>729</v>
      </c>
      <c r="F176" s="201" t="s">
        <v>587</v>
      </c>
      <c r="G176" s="1888" t="s">
        <v>496</v>
      </c>
      <c r="H176" s="1839"/>
      <c r="I176" s="169" t="s">
        <v>729</v>
      </c>
      <c r="J176" s="201" t="s">
        <v>587</v>
      </c>
      <c r="K176" s="1888" t="s">
        <v>496</v>
      </c>
      <c r="L176" s="1839"/>
      <c r="M176" s="169" t="s">
        <v>729</v>
      </c>
      <c r="N176" s="201" t="s">
        <v>587</v>
      </c>
      <c r="O176" s="1888" t="s">
        <v>496</v>
      </c>
      <c r="P176" s="1839"/>
      <c r="Q176" s="898"/>
      <c r="R176" s="898"/>
      <c r="S176" s="898"/>
      <c r="T176" s="898"/>
      <c r="U176" s="900"/>
      <c r="AA176" s="137">
        <f t="shared" si="24"/>
        <v>0</v>
      </c>
    </row>
    <row r="177" spans="1:27" s="195" customFormat="1">
      <c r="A177" s="157" t="s">
        <v>6</v>
      </c>
      <c r="B177" s="361" t="s">
        <v>7</v>
      </c>
      <c r="C177" s="158" t="s">
        <v>8</v>
      </c>
      <c r="D177" s="160" t="s">
        <v>9</v>
      </c>
      <c r="E177" s="189">
        <v>4</v>
      </c>
      <c r="F177" s="168">
        <v>5</v>
      </c>
      <c r="G177" s="1653" t="s">
        <v>716</v>
      </c>
      <c r="H177" s="1654"/>
      <c r="I177" s="189">
        <v>7</v>
      </c>
      <c r="J177" s="168">
        <v>8</v>
      </c>
      <c r="K177" s="1653" t="s">
        <v>717</v>
      </c>
      <c r="L177" s="1654"/>
      <c r="M177" s="189" t="s">
        <v>413</v>
      </c>
      <c r="N177" s="168" t="s">
        <v>418</v>
      </c>
      <c r="O177" s="1653" t="s">
        <v>499</v>
      </c>
      <c r="P177" s="1654"/>
      <c r="Q177" s="898"/>
      <c r="R177" s="898"/>
      <c r="S177" s="898"/>
      <c r="T177" s="898"/>
      <c r="U177" s="900"/>
      <c r="AA177" s="137">
        <f t="shared" si="24"/>
        <v>0</v>
      </c>
    </row>
    <row r="178" spans="1:27" s="122" customFormat="1" ht="27.75" customHeight="1">
      <c r="A178" s="210">
        <v>244</v>
      </c>
      <c r="B178" s="254"/>
      <c r="C178" s="268" t="s">
        <v>685</v>
      </c>
      <c r="D178" s="228" t="s">
        <v>715</v>
      </c>
      <c r="E178" s="1247">
        <f>ROUNDUP(G178/300,0)</f>
        <v>0</v>
      </c>
      <c r="F178" s="1241">
        <f t="shared" ref="F178:F185" si="28">IFERROR(ROUND(G178/E178,2),0)</f>
        <v>0</v>
      </c>
      <c r="G178" s="1791">
        <f>SUMIFS(Титульный!$O$69:$O$292,Титульный!$K$69:$K$292,'КФО 4'!$Q178,Титульный!$L$69:$L$292,'КФО 4'!$S178,Титульный!$N$69:$N$292,'КФО 4'!$T178)</f>
        <v>0</v>
      </c>
      <c r="H178" s="1674"/>
      <c r="I178" s="1247">
        <f>ROUNDUP(K178/300,0)</f>
        <v>0</v>
      </c>
      <c r="J178" s="1241">
        <f t="shared" ref="J178:J185" si="29">IFERROR(ROUND(K178/I178,2),0)</f>
        <v>0</v>
      </c>
      <c r="K178" s="1885">
        <f>SUMIFS(Титульный!$P$69:$P$292,
Титульный!$K$69:$K$292,'КФО 4'!$Q178,
Титульный!$L$69:$L$292,'КФО 4'!$S178,
Титульный!$N$69:$N$292,'КФО 4'!$T178)</f>
        <v>0</v>
      </c>
      <c r="L178" s="1674"/>
      <c r="M178" s="1247">
        <f>ROUNDUP(O178/300,0)</f>
        <v>0</v>
      </c>
      <c r="N178" s="1241">
        <f t="shared" ref="N178:N185" si="30">IFERROR(ROUND(O178/M178,2),0)</f>
        <v>0</v>
      </c>
      <c r="O178" s="1885">
        <f>SUMIFS(Титульный!$Q$69:$Q$292,
Титульный!$K$69:$K$292,'КФО 4'!$Q178,
Титульный!$L$69:$L$292,'КФО 4'!$S178,
Титульный!$N$69:$N$292,'КФО 4'!$T178)</f>
        <v>0</v>
      </c>
      <c r="P178" s="1674"/>
      <c r="Q178" s="898">
        <v>4</v>
      </c>
      <c r="R178" s="898"/>
      <c r="S178" s="898">
        <v>244</v>
      </c>
      <c r="T178" s="898">
        <v>341</v>
      </c>
      <c r="U178" s="900"/>
      <c r="AA178" s="137">
        <f t="shared" si="24"/>
        <v>0</v>
      </c>
    </row>
    <row r="179" spans="1:27" s="122" customFormat="1" ht="27.75" customHeight="1">
      <c r="A179" s="211">
        <v>244</v>
      </c>
      <c r="B179" s="216"/>
      <c r="C179" s="239" t="s">
        <v>686</v>
      </c>
      <c r="D179" s="219" t="s">
        <v>715</v>
      </c>
      <c r="E179" s="1247">
        <f>ROUNDUP(G179/275,0)</f>
        <v>0</v>
      </c>
      <c r="F179" s="1241">
        <f t="shared" si="28"/>
        <v>0</v>
      </c>
      <c r="G179" s="1882">
        <f>SUMIFS(Титульный!$O$69:$O$292,Титульный!$K$69:$K$292,'КФО 4'!$Q179,Титульный!$L$69:$L$292,'КФО 4'!$S179,Титульный!$N$69:$N$292,'КФО 4'!$T179)</f>
        <v>0</v>
      </c>
      <c r="H179" s="1883"/>
      <c r="I179" s="1247">
        <f>ROUNDUP(K179/275,0)</f>
        <v>0</v>
      </c>
      <c r="J179" s="1241">
        <f t="shared" si="29"/>
        <v>0</v>
      </c>
      <c r="K179" s="1884">
        <f>SUMIFS(Титульный!$P$69:$P$292,
Титульный!$K$69:$K$292,'КФО 4'!$Q179,
Титульный!$L$69:$L$292,'КФО 4'!$S179,
Титульный!$N$69:$N$292,'КФО 4'!$T179)</f>
        <v>0</v>
      </c>
      <c r="L179" s="1883"/>
      <c r="M179" s="1247">
        <f>ROUNDUP(O179/275,0)</f>
        <v>0</v>
      </c>
      <c r="N179" s="1241">
        <f t="shared" si="30"/>
        <v>0</v>
      </c>
      <c r="O179" s="1884">
        <f>SUMIFS(Титульный!$Q$69:$Q$292,
Титульный!$K$69:$K$292,'КФО 4'!$Q179,
Титульный!$L$69:$L$292,'КФО 4'!$S179,
Титульный!$N$69:$N$292,'КФО 4'!$T179)</f>
        <v>0</v>
      </c>
      <c r="P179" s="1883"/>
      <c r="Q179" s="898">
        <v>4</v>
      </c>
      <c r="R179" s="898"/>
      <c r="S179" s="898">
        <v>244</v>
      </c>
      <c r="T179" s="898">
        <v>342</v>
      </c>
      <c r="U179" s="900"/>
      <c r="AA179" s="137">
        <f t="shared" si="24"/>
        <v>0</v>
      </c>
    </row>
    <row r="180" spans="1:27" s="122" customFormat="1" ht="27.75" customHeight="1">
      <c r="A180" s="211">
        <v>244</v>
      </c>
      <c r="B180" s="216"/>
      <c r="C180" s="239" t="s">
        <v>249</v>
      </c>
      <c r="D180" s="219" t="s">
        <v>724</v>
      </c>
      <c r="E180" s="1247">
        <f>ROUNDUP(G180/50,0)</f>
        <v>0</v>
      </c>
      <c r="F180" s="1241">
        <f t="shared" si="28"/>
        <v>0</v>
      </c>
      <c r="G180" s="1882">
        <f>SUMIFS(Титульный!$O$69:$O$292,Титульный!$K$69:$K$292,'КФО 4'!$Q180,Титульный!$L$69:$L$292,'КФО 4'!$S180,Титульный!$N$69:$N$292,'КФО 4'!$T180)</f>
        <v>0</v>
      </c>
      <c r="H180" s="1883"/>
      <c r="I180" s="1247">
        <f>ROUNDUP(K180/50,0)</f>
        <v>0</v>
      </c>
      <c r="J180" s="1241">
        <f t="shared" si="29"/>
        <v>0</v>
      </c>
      <c r="K180" s="1884">
        <f>SUMIFS(Титульный!$P$69:$P$292,
Титульный!$K$69:$K$292,'КФО 4'!$Q180,
Титульный!$L$69:$L$292,'КФО 4'!$S180,
Титульный!$N$69:$N$292,'КФО 4'!$T180)</f>
        <v>0</v>
      </c>
      <c r="L180" s="1883"/>
      <c r="M180" s="1247">
        <f>ROUNDUP(O180/50,0)</f>
        <v>0</v>
      </c>
      <c r="N180" s="1241">
        <f t="shared" si="30"/>
        <v>0</v>
      </c>
      <c r="O180" s="1884">
        <f>SUMIFS(Титульный!$Q$69:$Q$292,
Титульный!$K$69:$K$292,'КФО 4'!$Q180,
Титульный!$L$69:$L$292,'КФО 4'!$S180,
Титульный!$N$69:$N$292,'КФО 4'!$T180)</f>
        <v>0</v>
      </c>
      <c r="P180" s="1883"/>
      <c r="Q180" s="898">
        <v>4</v>
      </c>
      <c r="R180" s="898"/>
      <c r="S180" s="898">
        <v>244</v>
      </c>
      <c r="T180" s="898">
        <v>343</v>
      </c>
      <c r="U180" s="900"/>
      <c r="AA180" s="137">
        <f t="shared" si="24"/>
        <v>0</v>
      </c>
    </row>
    <row r="181" spans="1:27" s="122" customFormat="1" ht="27.75" customHeight="1">
      <c r="A181" s="211">
        <v>244</v>
      </c>
      <c r="B181" s="216"/>
      <c r="C181" s="239" t="s">
        <v>250</v>
      </c>
      <c r="D181" s="219" t="s">
        <v>715</v>
      </c>
      <c r="E181" s="1247">
        <f>ROUNDUP(G181/3000,0)</f>
        <v>0</v>
      </c>
      <c r="F181" s="1241">
        <f t="shared" si="28"/>
        <v>0</v>
      </c>
      <c r="G181" s="1882">
        <f>SUMIFS(Титульный!$O$69:$O$292,Титульный!$K$69:$K$292,'КФО 4'!$Q181,Титульный!$L$69:$L$292,'КФО 4'!$S181,Титульный!$N$69:$N$292,'КФО 4'!$T181)</f>
        <v>0</v>
      </c>
      <c r="H181" s="1883"/>
      <c r="I181" s="1247">
        <f>ROUNDUP(K181/3000,0)</f>
        <v>0</v>
      </c>
      <c r="J181" s="1241">
        <f t="shared" si="29"/>
        <v>0</v>
      </c>
      <c r="K181" s="1884">
        <f>SUMIFS(Титульный!$P$69:$P$292,
Титульный!$K$69:$K$292,'КФО 4'!$Q181,
Титульный!$L$69:$L$292,'КФО 4'!$S181,
Титульный!$N$69:$N$292,'КФО 4'!$T181)</f>
        <v>0</v>
      </c>
      <c r="L181" s="1883"/>
      <c r="M181" s="1247">
        <f>ROUNDUP(O181/3000,0)</f>
        <v>0</v>
      </c>
      <c r="N181" s="1241">
        <f t="shared" si="30"/>
        <v>0</v>
      </c>
      <c r="O181" s="1884">
        <f>SUMIFS(Титульный!$Q$69:$Q$292,
Титульный!$K$69:$K$292,'КФО 4'!$Q181,
Титульный!$L$69:$L$292,'КФО 4'!$S181,
Титульный!$N$69:$N$292,'КФО 4'!$T181)</f>
        <v>0</v>
      </c>
      <c r="P181" s="1883"/>
      <c r="Q181" s="898">
        <v>4</v>
      </c>
      <c r="R181" s="898"/>
      <c r="S181" s="898">
        <v>244</v>
      </c>
      <c r="T181" s="898">
        <v>344</v>
      </c>
      <c r="U181" s="900"/>
      <c r="AA181" s="137">
        <f t="shared" si="24"/>
        <v>0</v>
      </c>
    </row>
    <row r="182" spans="1:27" s="122" customFormat="1" ht="27.75" customHeight="1">
      <c r="A182" s="211">
        <v>244</v>
      </c>
      <c r="B182" s="216"/>
      <c r="C182" s="239" t="s">
        <v>687</v>
      </c>
      <c r="D182" s="219" t="s">
        <v>715</v>
      </c>
      <c r="E182" s="1247">
        <f>ROUNDUP(G182/2500,0)</f>
        <v>0</v>
      </c>
      <c r="F182" s="1241">
        <f t="shared" si="28"/>
        <v>0</v>
      </c>
      <c r="G182" s="1882">
        <f>SUMIFS(Титульный!$O$69:$O$292,Титульный!$K$69:$K$292,'КФО 4'!$Q182,Титульный!$L$69:$L$292,'КФО 4'!$S182,Титульный!$N$69:$N$292,'КФО 4'!$T182)</f>
        <v>0</v>
      </c>
      <c r="H182" s="1883"/>
      <c r="I182" s="1247">
        <f>ROUNDUP(K182/2500,0)</f>
        <v>0</v>
      </c>
      <c r="J182" s="1241">
        <f t="shared" si="29"/>
        <v>0</v>
      </c>
      <c r="K182" s="1884">
        <f>SUMIFS(Титульный!$P$69:$P$292,
Титульный!$K$69:$K$292,'КФО 4'!$Q182,
Титульный!$L$69:$L$292,'КФО 4'!$S182,
Титульный!$N$69:$N$292,'КФО 4'!$T182)</f>
        <v>0</v>
      </c>
      <c r="L182" s="1883"/>
      <c r="M182" s="1247">
        <f>ROUNDUP(O182/2500,0)</f>
        <v>0</v>
      </c>
      <c r="N182" s="1241">
        <f t="shared" si="30"/>
        <v>0</v>
      </c>
      <c r="O182" s="1884">
        <f>SUMIFS(Титульный!$Q$69:$Q$292,
Титульный!$K$69:$K$292,'КФО 4'!$Q182,
Титульный!$L$69:$L$292,'КФО 4'!$S182,
Титульный!$N$69:$N$292,'КФО 4'!$T182)</f>
        <v>0</v>
      </c>
      <c r="P182" s="1883"/>
      <c r="Q182" s="898">
        <v>4</v>
      </c>
      <c r="R182" s="898"/>
      <c r="S182" s="898">
        <v>244</v>
      </c>
      <c r="T182" s="898">
        <v>345</v>
      </c>
      <c r="U182" s="900"/>
      <c r="AA182" s="137">
        <f t="shared" si="24"/>
        <v>0</v>
      </c>
    </row>
    <row r="183" spans="1:27" s="122" customFormat="1" ht="27.75" customHeight="1">
      <c r="A183" s="211">
        <v>244</v>
      </c>
      <c r="B183" s="216"/>
      <c r="C183" s="239" t="s">
        <v>688</v>
      </c>
      <c r="D183" s="219" t="s">
        <v>715</v>
      </c>
      <c r="E183" s="1247">
        <f>ROUNDUP(G183/1100,0)</f>
        <v>921</v>
      </c>
      <c r="F183" s="1241">
        <f t="shared" si="28"/>
        <v>1099.5999999999999</v>
      </c>
      <c r="G183" s="1882">
        <f>SUMIFS(Титульный!$O$69:$O$292,Титульный!$K$69:$K$292,'КФО 4'!$Q183,Титульный!$L$69:$L$292,'КФО 4'!$S183,Титульный!$N$69:$N$292,'КФО 4'!$T183)</f>
        <v>1012730.06</v>
      </c>
      <c r="H183" s="1883"/>
      <c r="I183" s="1247">
        <f>ROUNDUP(K183/1100,0)</f>
        <v>573</v>
      </c>
      <c r="J183" s="1241">
        <f t="shared" si="29"/>
        <v>1098.95</v>
      </c>
      <c r="K183" s="1884">
        <f>SUMIFS(Титульный!$P$69:$P$292,
Титульный!$K$69:$K$292,'КФО 4'!$Q183,
Титульный!$L$69:$L$292,'КФО 4'!$S183,
Титульный!$N$69:$N$292,'КФО 4'!$T183)</f>
        <v>629700</v>
      </c>
      <c r="L183" s="1883"/>
      <c r="M183" s="1247">
        <f>ROUNDUP(O183/1100,0)</f>
        <v>573</v>
      </c>
      <c r="N183" s="1241">
        <f t="shared" si="30"/>
        <v>1098.95</v>
      </c>
      <c r="O183" s="1884">
        <f>SUMIFS(Титульный!$Q$69:$Q$292,
Титульный!$K$69:$K$292,'КФО 4'!$Q183,
Титульный!$L$69:$L$292,'КФО 4'!$S183,
Титульный!$N$69:$N$292,'КФО 4'!$T183)</f>
        <v>629700</v>
      </c>
      <c r="P183" s="1883"/>
      <c r="Q183" s="898">
        <v>4</v>
      </c>
      <c r="R183" s="898"/>
      <c r="S183" s="898">
        <v>244</v>
      </c>
      <c r="T183" s="898">
        <v>346</v>
      </c>
      <c r="U183" s="900"/>
      <c r="AA183" s="137">
        <f t="shared" si="24"/>
        <v>0</v>
      </c>
    </row>
    <row r="184" spans="1:27" s="122" customFormat="1" ht="27.75" customHeight="1">
      <c r="A184" s="211">
        <v>244</v>
      </c>
      <c r="B184" s="216"/>
      <c r="C184" s="239" t="s">
        <v>253</v>
      </c>
      <c r="D184" s="219" t="s">
        <v>715</v>
      </c>
      <c r="E184" s="1247">
        <f>ROUNDUP(G184/2000,0)</f>
        <v>0</v>
      </c>
      <c r="F184" s="1241">
        <f t="shared" si="28"/>
        <v>0</v>
      </c>
      <c r="G184" s="1882">
        <f>SUMIFS(Титульный!$O$69:$O$292,Титульный!$K$69:$K$292,'КФО 4'!$Q184,Титульный!$L$69:$L$292,'КФО 4'!$S184,Титульный!$N$69:$N$292,'КФО 4'!$T184)</f>
        <v>0</v>
      </c>
      <c r="H184" s="1883"/>
      <c r="I184" s="1247">
        <f>ROUNDUP(K184/2000,0)</f>
        <v>0</v>
      </c>
      <c r="J184" s="1241">
        <f t="shared" si="29"/>
        <v>0</v>
      </c>
      <c r="K184" s="1884">
        <f>SUMIFS(Титульный!$P$69:$P$292,
Титульный!$K$69:$K$292,'КФО 4'!$Q184,
Титульный!$L$69:$L$292,'КФО 4'!$S184,
Титульный!$N$69:$N$292,'КФО 4'!$T184)</f>
        <v>0</v>
      </c>
      <c r="L184" s="1883"/>
      <c r="M184" s="1247">
        <f>ROUNDUP(O184/2000,0)</f>
        <v>0</v>
      </c>
      <c r="N184" s="1241">
        <f t="shared" si="30"/>
        <v>0</v>
      </c>
      <c r="O184" s="1884">
        <f>SUMIFS(Титульный!$Q$69:$Q$292,
Титульный!$K$69:$K$292,'КФО 4'!$Q184,
Титульный!$L$69:$L$292,'КФО 4'!$S184,
Титульный!$N$69:$N$292,'КФО 4'!$T184)</f>
        <v>0</v>
      </c>
      <c r="P184" s="1883"/>
      <c r="Q184" s="898">
        <v>4</v>
      </c>
      <c r="R184" s="898"/>
      <c r="S184" s="898">
        <v>244</v>
      </c>
      <c r="T184" s="898">
        <v>347</v>
      </c>
      <c r="U184" s="900"/>
      <c r="AA184" s="137">
        <f t="shared" si="24"/>
        <v>0</v>
      </c>
    </row>
    <row r="185" spans="1:27" s="122" customFormat="1" ht="27.75" customHeight="1">
      <c r="A185" s="211">
        <v>244</v>
      </c>
      <c r="B185" s="216"/>
      <c r="C185" s="239" t="s">
        <v>254</v>
      </c>
      <c r="D185" s="219" t="s">
        <v>715</v>
      </c>
      <c r="E185" s="1247">
        <f>ROUNDUP(G185/150,0)</f>
        <v>0</v>
      </c>
      <c r="F185" s="1241">
        <f t="shared" si="28"/>
        <v>0</v>
      </c>
      <c r="G185" s="1792">
        <f>SUMIFS(Титульный!$O$69:$O$292,Титульный!$K$69:$K$292,'КФО 4'!$Q185,Титульный!$L$69:$L$292,'КФО 4'!$S185,Титульный!$N$69:$N$292,'КФО 4'!$T185)</f>
        <v>0</v>
      </c>
      <c r="H185" s="1793"/>
      <c r="I185" s="1247">
        <f>ROUNDUP(K185/150,0)</f>
        <v>0</v>
      </c>
      <c r="J185" s="1241">
        <f t="shared" si="29"/>
        <v>0</v>
      </c>
      <c r="K185" s="1913">
        <f>SUMIFS(Титульный!$P$69:$P$292,
Титульный!$K$69:$K$292,'КФО 4'!$Q185,
Титульный!$L$69:$L$292,'КФО 4'!$S185,
Титульный!$N$69:$N$292,'КФО 4'!$T185)</f>
        <v>0</v>
      </c>
      <c r="L185" s="1793"/>
      <c r="M185" s="1247">
        <f>ROUNDUP(O185/150,0)</f>
        <v>0</v>
      </c>
      <c r="N185" s="1241">
        <f t="shared" si="30"/>
        <v>0</v>
      </c>
      <c r="O185" s="1913">
        <f>SUMIFS(Титульный!$Q$69:$Q$292,
Титульный!$K$69:$K$292,'КФО 4'!$Q185,
Титульный!$L$69:$L$292,'КФО 4'!$S185,
Титульный!$N$69:$N$292,'КФО 4'!$T185)</f>
        <v>0</v>
      </c>
      <c r="P185" s="1793"/>
      <c r="Q185" s="898">
        <v>4</v>
      </c>
      <c r="R185" s="898"/>
      <c r="S185" s="898">
        <v>244</v>
      </c>
      <c r="T185" s="898">
        <v>349</v>
      </c>
      <c r="U185" s="900"/>
      <c r="AA185" s="137">
        <f t="shared" si="24"/>
        <v>0</v>
      </c>
    </row>
    <row r="186" spans="1:27" s="267" customFormat="1" ht="27.75" customHeight="1">
      <c r="A186" s="258"/>
      <c r="B186" s="259"/>
      <c r="C186" s="235" t="s">
        <v>554</v>
      </c>
      <c r="D186" s="262" t="s">
        <v>412</v>
      </c>
      <c r="E186" s="736" t="s">
        <v>412</v>
      </c>
      <c r="F186" s="734" t="s">
        <v>412</v>
      </c>
      <c r="G186" s="1667">
        <f>SUM(G178:H185)</f>
        <v>1012730.06</v>
      </c>
      <c r="H186" s="1800">
        <f>SUMIFS(Титульный!$O$69:$O$292,Титульный!$K$69:$K$292,'КФО 2'!$Q191,Титульный!$L$69:$L$292,'КФО 2'!$R191,Титульный!$N$69:$N$292,'КФО 2'!$S191)</f>
        <v>0</v>
      </c>
      <c r="I186" s="736" t="s">
        <v>412</v>
      </c>
      <c r="J186" s="734" t="s">
        <v>412</v>
      </c>
      <c r="K186" s="1667">
        <f>SUM(K178:L185)</f>
        <v>629700</v>
      </c>
      <c r="L186" s="1800">
        <f>SUMIFS(Титульный!$O$69:$O$292,Титульный!$K$69:$K$292,'КФО 2'!$Q191,Титульный!$L$69:$L$292,'КФО 2'!$R191,Титульный!$N$69:$N$292,'КФО 2'!$S191)</f>
        <v>0</v>
      </c>
      <c r="M186" s="736" t="s">
        <v>412</v>
      </c>
      <c r="N186" s="734" t="s">
        <v>412</v>
      </c>
      <c r="O186" s="1667">
        <f>SUM(O178:P185)</f>
        <v>629700</v>
      </c>
      <c r="P186" s="1800">
        <f>SUMIFS(Титульный!$O$69:$O$292,Титульный!$K$69:$K$292,'КФО 2'!$Q191,Титульный!$L$69:$L$292,'КФО 2'!$R191,Титульный!$N$69:$N$292,'КФО 2'!$S191)</f>
        <v>0</v>
      </c>
      <c r="Q186" s="898"/>
      <c r="R186" s="898"/>
      <c r="S186" s="898"/>
      <c r="T186" s="898"/>
      <c r="U186" s="898"/>
      <c r="AA186" s="137">
        <f t="shared" si="24"/>
        <v>0</v>
      </c>
    </row>
    <row r="187" spans="1:27" s="144" customFormat="1">
      <c r="B187" s="256"/>
      <c r="Q187" s="898"/>
      <c r="R187" s="898"/>
      <c r="S187" s="898"/>
      <c r="T187" s="898"/>
      <c r="U187" s="900"/>
    </row>
  </sheetData>
  <mergeCells count="527">
    <mergeCell ref="K59:L59"/>
    <mergeCell ref="O59:P59"/>
    <mergeCell ref="G181:H181"/>
    <mergeCell ref="K181:L181"/>
    <mergeCell ref="O181:P181"/>
    <mergeCell ref="G182:H182"/>
    <mergeCell ref="K182:L182"/>
    <mergeCell ref="O182:P182"/>
    <mergeCell ref="G179:H179"/>
    <mergeCell ref="K179:L179"/>
    <mergeCell ref="O179:P179"/>
    <mergeCell ref="G180:H180"/>
    <mergeCell ref="K180:L180"/>
    <mergeCell ref="O180:P180"/>
    <mergeCell ref="O176:P176"/>
    <mergeCell ref="G177:H177"/>
    <mergeCell ref="K177:L177"/>
    <mergeCell ref="O177:P177"/>
    <mergeCell ref="G178:H178"/>
    <mergeCell ref="K178:L178"/>
    <mergeCell ref="O178:P178"/>
    <mergeCell ref="A173:P173"/>
    <mergeCell ref="A175:A176"/>
    <mergeCell ref="B175:B176"/>
    <mergeCell ref="G186:H186"/>
    <mergeCell ref="K186:L186"/>
    <mergeCell ref="O186:P186"/>
    <mergeCell ref="G185:H185"/>
    <mergeCell ref="K185:L185"/>
    <mergeCell ref="O185:P185"/>
    <mergeCell ref="G183:H183"/>
    <mergeCell ref="K183:L183"/>
    <mergeCell ref="O183:P183"/>
    <mergeCell ref="G184:H184"/>
    <mergeCell ref="K184:L184"/>
    <mergeCell ref="O184:P184"/>
    <mergeCell ref="C175:C176"/>
    <mergeCell ref="D175:D176"/>
    <mergeCell ref="E175:H175"/>
    <mergeCell ref="I175:L175"/>
    <mergeCell ref="M175:P175"/>
    <mergeCell ref="G176:H176"/>
    <mergeCell ref="K176:L176"/>
    <mergeCell ref="C168:D168"/>
    <mergeCell ref="G168:H168"/>
    <mergeCell ref="K168:L168"/>
    <mergeCell ref="O168:P168"/>
    <mergeCell ref="C169:D169"/>
    <mergeCell ref="G169:H169"/>
    <mergeCell ref="K169:L169"/>
    <mergeCell ref="O169:P169"/>
    <mergeCell ref="C166:D166"/>
    <mergeCell ref="G166:H166"/>
    <mergeCell ref="K166:L166"/>
    <mergeCell ref="O166:P166"/>
    <mergeCell ref="C167:D167"/>
    <mergeCell ref="G167:H167"/>
    <mergeCell ref="K167:L167"/>
    <mergeCell ref="O167:P167"/>
    <mergeCell ref="C164:D164"/>
    <mergeCell ref="G164:H164"/>
    <mergeCell ref="K164:L164"/>
    <mergeCell ref="O164:P164"/>
    <mergeCell ref="C165:D165"/>
    <mergeCell ref="G165:H165"/>
    <mergeCell ref="K165:L165"/>
    <mergeCell ref="O165:P165"/>
    <mergeCell ref="C161:D161"/>
    <mergeCell ref="G161:H161"/>
    <mergeCell ref="K161:L161"/>
    <mergeCell ref="O161:P161"/>
    <mergeCell ref="C162:D162"/>
    <mergeCell ref="G162:H162"/>
    <mergeCell ref="K162:L162"/>
    <mergeCell ref="O162:P162"/>
    <mergeCell ref="C163:D163"/>
    <mergeCell ref="G163:H163"/>
    <mergeCell ref="K163:L163"/>
    <mergeCell ref="O163:P163"/>
    <mergeCell ref="C159:D159"/>
    <mergeCell ref="G159:H159"/>
    <mergeCell ref="K159:L159"/>
    <mergeCell ref="O159:P159"/>
    <mergeCell ref="C160:D160"/>
    <mergeCell ref="G160:H160"/>
    <mergeCell ref="K160:L160"/>
    <mergeCell ref="O160:P160"/>
    <mergeCell ref="M156:P156"/>
    <mergeCell ref="G157:H157"/>
    <mergeCell ref="K157:L157"/>
    <mergeCell ref="O157:P157"/>
    <mergeCell ref="C158:D158"/>
    <mergeCell ref="G158:H158"/>
    <mergeCell ref="K158:L158"/>
    <mergeCell ref="O158:P158"/>
    <mergeCell ref="C150:D150"/>
    <mergeCell ref="G150:H150"/>
    <mergeCell ref="K150:L150"/>
    <mergeCell ref="O150:P150"/>
    <mergeCell ref="A154:P154"/>
    <mergeCell ref="A156:A157"/>
    <mergeCell ref="B156:B157"/>
    <mergeCell ref="C156:D157"/>
    <mergeCell ref="E156:H156"/>
    <mergeCell ref="I156:L156"/>
    <mergeCell ref="C148:D148"/>
    <mergeCell ref="G148:H148"/>
    <mergeCell ref="K148:L148"/>
    <mergeCell ref="O148:P148"/>
    <mergeCell ref="C149:D149"/>
    <mergeCell ref="G149:H149"/>
    <mergeCell ref="K149:L149"/>
    <mergeCell ref="O149:P149"/>
    <mergeCell ref="C146:D146"/>
    <mergeCell ref="G146:H146"/>
    <mergeCell ref="K146:L146"/>
    <mergeCell ref="O146:P146"/>
    <mergeCell ref="C147:D147"/>
    <mergeCell ref="G147:H147"/>
    <mergeCell ref="K147:L147"/>
    <mergeCell ref="O147:P147"/>
    <mergeCell ref="A142:P142"/>
    <mergeCell ref="A144:A145"/>
    <mergeCell ref="B144:B145"/>
    <mergeCell ref="C144:D145"/>
    <mergeCell ref="E144:H144"/>
    <mergeCell ref="I144:L144"/>
    <mergeCell ref="M144:P144"/>
    <mergeCell ref="G145:H145"/>
    <mergeCell ref="K145:L145"/>
    <mergeCell ref="O145:P145"/>
    <mergeCell ref="C137:D137"/>
    <mergeCell ref="E137:H137"/>
    <mergeCell ref="I137:L137"/>
    <mergeCell ref="M137:P137"/>
    <mergeCell ref="C138:D138"/>
    <mergeCell ref="E138:H138"/>
    <mergeCell ref="I138:L138"/>
    <mergeCell ref="M138:P138"/>
    <mergeCell ref="C135:D135"/>
    <mergeCell ref="E135:H135"/>
    <mergeCell ref="I135:L135"/>
    <mergeCell ref="M135:P135"/>
    <mergeCell ref="C136:D136"/>
    <mergeCell ref="E136:H136"/>
    <mergeCell ref="I136:L136"/>
    <mergeCell ref="M136:P136"/>
    <mergeCell ref="K116:L116"/>
    <mergeCell ref="O116:P116"/>
    <mergeCell ref="I133:L133"/>
    <mergeCell ref="M133:P133"/>
    <mergeCell ref="C134:D134"/>
    <mergeCell ref="E134:H134"/>
    <mergeCell ref="I134:L134"/>
    <mergeCell ref="M134:P134"/>
    <mergeCell ref="C126:D126"/>
    <mergeCell ref="G126:H126"/>
    <mergeCell ref="K126:L126"/>
    <mergeCell ref="O126:P126"/>
    <mergeCell ref="A130:P130"/>
    <mergeCell ref="A132:A133"/>
    <mergeCell ref="B132:B133"/>
    <mergeCell ref="C132:D133"/>
    <mergeCell ref="E132:P132"/>
    <mergeCell ref="E133:H133"/>
    <mergeCell ref="C120:D120"/>
    <mergeCell ref="G120:H120"/>
    <mergeCell ref="K120:L120"/>
    <mergeCell ref="O120:P120"/>
    <mergeCell ref="C121:D121"/>
    <mergeCell ref="G121:H121"/>
    <mergeCell ref="K110:L110"/>
    <mergeCell ref="O110:P110"/>
    <mergeCell ref="C109:D109"/>
    <mergeCell ref="G109:H109"/>
    <mergeCell ref="K109:L109"/>
    <mergeCell ref="O109:P109"/>
    <mergeCell ref="C125:D125"/>
    <mergeCell ref="G125:H125"/>
    <mergeCell ref="K125:L125"/>
    <mergeCell ref="O125:P125"/>
    <mergeCell ref="C123:D123"/>
    <mergeCell ref="G123:H123"/>
    <mergeCell ref="K123:L123"/>
    <mergeCell ref="O123:P123"/>
    <mergeCell ref="C117:D117"/>
    <mergeCell ref="G117:H117"/>
    <mergeCell ref="K117:L117"/>
    <mergeCell ref="O117:P117"/>
    <mergeCell ref="C114:D114"/>
    <mergeCell ref="G114:H114"/>
    <mergeCell ref="K114:L114"/>
    <mergeCell ref="O114:P114"/>
    <mergeCell ref="C116:D116"/>
    <mergeCell ref="G116:H116"/>
    <mergeCell ref="K121:L121"/>
    <mergeCell ref="O121:P121"/>
    <mergeCell ref="C118:D118"/>
    <mergeCell ref="G118:H118"/>
    <mergeCell ref="K118:L118"/>
    <mergeCell ref="O118:P118"/>
    <mergeCell ref="C119:D119"/>
    <mergeCell ref="G119:H119"/>
    <mergeCell ref="K119:L119"/>
    <mergeCell ref="O119:P119"/>
    <mergeCell ref="C115:D115"/>
    <mergeCell ref="G115:H115"/>
    <mergeCell ref="K115:L115"/>
    <mergeCell ref="O115:P115"/>
    <mergeCell ref="C112:D112"/>
    <mergeCell ref="G112:H112"/>
    <mergeCell ref="K112:L112"/>
    <mergeCell ref="O112:P112"/>
    <mergeCell ref="C113:D113"/>
    <mergeCell ref="G113:H113"/>
    <mergeCell ref="K113:L113"/>
    <mergeCell ref="O113:P113"/>
    <mergeCell ref="C107:D107"/>
    <mergeCell ref="G107:H107"/>
    <mergeCell ref="K107:L107"/>
    <mergeCell ref="O107:P107"/>
    <mergeCell ref="C111:D111"/>
    <mergeCell ref="G111:H111"/>
    <mergeCell ref="K111:L111"/>
    <mergeCell ref="O111:P111"/>
    <mergeCell ref="A103:P103"/>
    <mergeCell ref="A105:A106"/>
    <mergeCell ref="B105:B106"/>
    <mergeCell ref="C105:D106"/>
    <mergeCell ref="E105:H105"/>
    <mergeCell ref="I105:L105"/>
    <mergeCell ref="M105:P105"/>
    <mergeCell ref="G106:H106"/>
    <mergeCell ref="K106:L106"/>
    <mergeCell ref="O106:P106"/>
    <mergeCell ref="C108:D108"/>
    <mergeCell ref="G108:H108"/>
    <mergeCell ref="K108:L108"/>
    <mergeCell ref="O108:P108"/>
    <mergeCell ref="C110:D110"/>
    <mergeCell ref="G110:H110"/>
    <mergeCell ref="C98:D98"/>
    <mergeCell ref="G98:H98"/>
    <mergeCell ref="K98:L98"/>
    <mergeCell ref="O98:P98"/>
    <mergeCell ref="C99:D99"/>
    <mergeCell ref="G99:H99"/>
    <mergeCell ref="K99:L99"/>
    <mergeCell ref="O99:P99"/>
    <mergeCell ref="C96:D96"/>
    <mergeCell ref="G96:H96"/>
    <mergeCell ref="K96:L96"/>
    <mergeCell ref="O96:P96"/>
    <mergeCell ref="C97:D97"/>
    <mergeCell ref="G97:H97"/>
    <mergeCell ref="C94:D94"/>
    <mergeCell ref="G94:H94"/>
    <mergeCell ref="K94:L94"/>
    <mergeCell ref="O94:P94"/>
    <mergeCell ref="C95:D95"/>
    <mergeCell ref="G95:H95"/>
    <mergeCell ref="K95:L95"/>
    <mergeCell ref="O95:P95"/>
    <mergeCell ref="C92:D92"/>
    <mergeCell ref="G92:H92"/>
    <mergeCell ref="K92:L92"/>
    <mergeCell ref="O92:P92"/>
    <mergeCell ref="C93:D93"/>
    <mergeCell ref="G93:H93"/>
    <mergeCell ref="K93:L93"/>
    <mergeCell ref="O93:P93"/>
    <mergeCell ref="C91:D91"/>
    <mergeCell ref="G91:H91"/>
    <mergeCell ref="K91:L91"/>
    <mergeCell ref="O91:P91"/>
    <mergeCell ref="C88:D88"/>
    <mergeCell ref="G88:H88"/>
    <mergeCell ref="K88:L88"/>
    <mergeCell ref="O88:P88"/>
    <mergeCell ref="C89:D89"/>
    <mergeCell ref="G89:H89"/>
    <mergeCell ref="K89:L89"/>
    <mergeCell ref="O89:P89"/>
    <mergeCell ref="C90:D90"/>
    <mergeCell ref="G90:H90"/>
    <mergeCell ref="K90:L90"/>
    <mergeCell ref="O90:P90"/>
    <mergeCell ref="C80:D80"/>
    <mergeCell ref="G80:H80"/>
    <mergeCell ref="K80:L80"/>
    <mergeCell ref="O80:P80"/>
    <mergeCell ref="C86:D86"/>
    <mergeCell ref="G86:H86"/>
    <mergeCell ref="K86:L86"/>
    <mergeCell ref="O86:P86"/>
    <mergeCell ref="C87:D87"/>
    <mergeCell ref="G87:H87"/>
    <mergeCell ref="K87:L87"/>
    <mergeCell ref="O87:P87"/>
    <mergeCell ref="C85:D85"/>
    <mergeCell ref="G85:H85"/>
    <mergeCell ref="K85:L85"/>
    <mergeCell ref="O85:P85"/>
    <mergeCell ref="C83:D83"/>
    <mergeCell ref="G83:H83"/>
    <mergeCell ref="K83:L83"/>
    <mergeCell ref="O83:P83"/>
    <mergeCell ref="C84:D84"/>
    <mergeCell ref="G84:H84"/>
    <mergeCell ref="K84:L84"/>
    <mergeCell ref="O84:P84"/>
    <mergeCell ref="C81:D81"/>
    <mergeCell ref="G81:H81"/>
    <mergeCell ref="K81:L81"/>
    <mergeCell ref="O81:P81"/>
    <mergeCell ref="C82:D82"/>
    <mergeCell ref="G82:H82"/>
    <mergeCell ref="K82:L82"/>
    <mergeCell ref="O82:P82"/>
    <mergeCell ref="K60:L60"/>
    <mergeCell ref="O60:P60"/>
    <mergeCell ref="C79:D79"/>
    <mergeCell ref="G79:H79"/>
    <mergeCell ref="K79:L79"/>
    <mergeCell ref="O79:P79"/>
    <mergeCell ref="C77:D77"/>
    <mergeCell ref="G77:H77"/>
    <mergeCell ref="K77:L77"/>
    <mergeCell ref="O77:P77"/>
    <mergeCell ref="C78:D78"/>
    <mergeCell ref="G78:H78"/>
    <mergeCell ref="K78:L78"/>
    <mergeCell ref="O78:P78"/>
    <mergeCell ref="C76:D76"/>
    <mergeCell ref="G76:H76"/>
    <mergeCell ref="K76:L76"/>
    <mergeCell ref="O76:P76"/>
    <mergeCell ref="C62:D62"/>
    <mergeCell ref="G62:H62"/>
    <mergeCell ref="K62:L62"/>
    <mergeCell ref="O62:P62"/>
    <mergeCell ref="C74:D74"/>
    <mergeCell ref="G74:H74"/>
    <mergeCell ref="K74:L74"/>
    <mergeCell ref="O74:P74"/>
    <mergeCell ref="C68:D68"/>
    <mergeCell ref="G68:H68"/>
    <mergeCell ref="K68:L68"/>
    <mergeCell ref="O68:P68"/>
    <mergeCell ref="C69:D69"/>
    <mergeCell ref="G69:H69"/>
    <mergeCell ref="K69:L69"/>
    <mergeCell ref="O69:P69"/>
    <mergeCell ref="C66:D66"/>
    <mergeCell ref="G66:H66"/>
    <mergeCell ref="K66:L66"/>
    <mergeCell ref="O66:P66"/>
    <mergeCell ref="C75:D75"/>
    <mergeCell ref="G75:H75"/>
    <mergeCell ref="K75:L75"/>
    <mergeCell ref="O75:P75"/>
    <mergeCell ref="C64:D64"/>
    <mergeCell ref="G64:H64"/>
    <mergeCell ref="K64:L64"/>
    <mergeCell ref="O64:P64"/>
    <mergeCell ref="C72:D72"/>
    <mergeCell ref="G72:H72"/>
    <mergeCell ref="K72:L72"/>
    <mergeCell ref="O72:P72"/>
    <mergeCell ref="C73:D73"/>
    <mergeCell ref="G73:H73"/>
    <mergeCell ref="K73:L73"/>
    <mergeCell ref="O73:P73"/>
    <mergeCell ref="C70:D70"/>
    <mergeCell ref="G70:H70"/>
    <mergeCell ref="C65:D65"/>
    <mergeCell ref="G65:H65"/>
    <mergeCell ref="K65:L65"/>
    <mergeCell ref="O65:P65"/>
    <mergeCell ref="G56:H56"/>
    <mergeCell ref="K56:L56"/>
    <mergeCell ref="O56:P56"/>
    <mergeCell ref="K70:L70"/>
    <mergeCell ref="O70:P70"/>
    <mergeCell ref="C71:D71"/>
    <mergeCell ref="G71:H71"/>
    <mergeCell ref="K71:L71"/>
    <mergeCell ref="O71:P71"/>
    <mergeCell ref="C67:D67"/>
    <mergeCell ref="G67:H67"/>
    <mergeCell ref="K67:L67"/>
    <mergeCell ref="O67:P67"/>
    <mergeCell ref="C61:D61"/>
    <mergeCell ref="G61:H61"/>
    <mergeCell ref="K61:L61"/>
    <mergeCell ref="O61:P61"/>
    <mergeCell ref="C60:D60"/>
    <mergeCell ref="G60:H60"/>
    <mergeCell ref="C58:D58"/>
    <mergeCell ref="G58:H58"/>
    <mergeCell ref="K58:L58"/>
    <mergeCell ref="O58:P58"/>
    <mergeCell ref="G59:H59"/>
    <mergeCell ref="C63:D63"/>
    <mergeCell ref="G63:H63"/>
    <mergeCell ref="K63:L63"/>
    <mergeCell ref="O63:P63"/>
    <mergeCell ref="C59:D59"/>
    <mergeCell ref="C48:D48"/>
    <mergeCell ref="G48:H48"/>
    <mergeCell ref="K48:L48"/>
    <mergeCell ref="O48:P48"/>
    <mergeCell ref="C49:D49"/>
    <mergeCell ref="G49:H49"/>
    <mergeCell ref="K49:L49"/>
    <mergeCell ref="O49:P49"/>
    <mergeCell ref="C57:D57"/>
    <mergeCell ref="G57:H57"/>
    <mergeCell ref="K57:L57"/>
    <mergeCell ref="O57:P57"/>
    <mergeCell ref="A53:P53"/>
    <mergeCell ref="A55:A56"/>
    <mergeCell ref="B55:B56"/>
    <mergeCell ref="C55:D56"/>
    <mergeCell ref="E55:H55"/>
    <mergeCell ref="I55:L55"/>
    <mergeCell ref="M55:P55"/>
    <mergeCell ref="C46:D46"/>
    <mergeCell ref="G46:H46"/>
    <mergeCell ref="K46:L46"/>
    <mergeCell ref="O46:P46"/>
    <mergeCell ref="C47:D47"/>
    <mergeCell ref="G47:H47"/>
    <mergeCell ref="K47:L47"/>
    <mergeCell ref="O47:P47"/>
    <mergeCell ref="G44:H44"/>
    <mergeCell ref="K44:L44"/>
    <mergeCell ref="O44:P44"/>
    <mergeCell ref="C45:D45"/>
    <mergeCell ref="G45:H45"/>
    <mergeCell ref="K45:L45"/>
    <mergeCell ref="O45:P45"/>
    <mergeCell ref="G37:H37"/>
    <mergeCell ref="K37:L37"/>
    <mergeCell ref="O37:P37"/>
    <mergeCell ref="A41:P41"/>
    <mergeCell ref="A43:A44"/>
    <mergeCell ref="B43:B44"/>
    <mergeCell ref="C43:D44"/>
    <mergeCell ref="E43:H43"/>
    <mergeCell ref="I43:L43"/>
    <mergeCell ref="M43:P43"/>
    <mergeCell ref="G35:H35"/>
    <mergeCell ref="K35:L35"/>
    <mergeCell ref="O35:P35"/>
    <mergeCell ref="G36:H36"/>
    <mergeCell ref="K36:L36"/>
    <mergeCell ref="O36:P36"/>
    <mergeCell ref="G33:H33"/>
    <mergeCell ref="K33:L33"/>
    <mergeCell ref="O33:P33"/>
    <mergeCell ref="G34:H34"/>
    <mergeCell ref="K34:L34"/>
    <mergeCell ref="O34:P34"/>
    <mergeCell ref="O30:P30"/>
    <mergeCell ref="G31:H31"/>
    <mergeCell ref="K31:L31"/>
    <mergeCell ref="O31:P31"/>
    <mergeCell ref="G32:H32"/>
    <mergeCell ref="K32:L32"/>
    <mergeCell ref="O32:P32"/>
    <mergeCell ref="A27:P27"/>
    <mergeCell ref="A29:A30"/>
    <mergeCell ref="B29:B30"/>
    <mergeCell ref="C29:C30"/>
    <mergeCell ref="D29:D30"/>
    <mergeCell ref="E29:H29"/>
    <mergeCell ref="I29:L29"/>
    <mergeCell ref="M29:P29"/>
    <mergeCell ref="G30:H30"/>
    <mergeCell ref="K30:L30"/>
    <mergeCell ref="M19:P19"/>
    <mergeCell ref="C7:D7"/>
    <mergeCell ref="C8:D8"/>
    <mergeCell ref="C9:D9"/>
    <mergeCell ref="C10:D10"/>
    <mergeCell ref="C11:D11"/>
    <mergeCell ref="C12:D12"/>
    <mergeCell ref="C23:D23"/>
    <mergeCell ref="G23:H23"/>
    <mergeCell ref="K23:L23"/>
    <mergeCell ref="O23:P23"/>
    <mergeCell ref="C22:D22"/>
    <mergeCell ref="G22:H22"/>
    <mergeCell ref="K22:L22"/>
    <mergeCell ref="O22:P22"/>
    <mergeCell ref="G20:H20"/>
    <mergeCell ref="K20:L20"/>
    <mergeCell ref="O20:P20"/>
    <mergeCell ref="C21:D21"/>
    <mergeCell ref="G21:H21"/>
    <mergeCell ref="K21:L21"/>
    <mergeCell ref="O21:P21"/>
    <mergeCell ref="C124:D124"/>
    <mergeCell ref="G124:H124"/>
    <mergeCell ref="K124:L124"/>
    <mergeCell ref="O124:P124"/>
    <mergeCell ref="C122:D122"/>
    <mergeCell ref="G122:H122"/>
    <mergeCell ref="K122:L122"/>
    <mergeCell ref="O122:P122"/>
    <mergeCell ref="A1:P1"/>
    <mergeCell ref="A2:P2"/>
    <mergeCell ref="A3:P3"/>
    <mergeCell ref="A5:A6"/>
    <mergeCell ref="B5:B6"/>
    <mergeCell ref="C5:D6"/>
    <mergeCell ref="E5:H5"/>
    <mergeCell ref="I5:L5"/>
    <mergeCell ref="M5:P5"/>
    <mergeCell ref="C13:D13"/>
    <mergeCell ref="A17:P17"/>
    <mergeCell ref="A19:A20"/>
    <mergeCell ref="B19:B20"/>
    <mergeCell ref="C19:D20"/>
    <mergeCell ref="E19:H19"/>
    <mergeCell ref="I19:L19"/>
  </mergeCells>
  <conditionalFormatting sqref="E8:P12 H13 L13 P13 E22:P22 E32:P36 G37:H37 K37:L37 O37:P37 E46:P48 G49:H49 K49:L49 O49:P49 E58:P98 G99:H99 K99:L99 O99:P99 E108:P125 G126:H126 K126:L126 O126:P126 E135:P138 E147:P149 G150:H150 K150:L150 O150:P150 E159:P168 G169:H169 K169:L169 O169:P169 E178:P185 G186:H186 K186:L186 O186:P186">
    <cfRule type="cellIs" dxfId="21" priority="2" operator="lessThan">
      <formula>0</formula>
    </cfRule>
  </conditionalFormatting>
  <conditionalFormatting sqref="E22 E32:E36 E46:E48 E58:E98 E108:E125 E147:E149 E159:E168 E178:E185">
    <cfRule type="expression" dxfId="20" priority="8">
      <formula>AND(G22&gt;0,E22="")</formula>
    </cfRule>
  </conditionalFormatting>
  <conditionalFormatting sqref="F22 F32:F36 F46:F48 F58:F98 F108:F125 F147:F149 F159:F168 F178:F185">
    <cfRule type="expression" dxfId="19" priority="7">
      <formula>AND(G22&gt;0,F22="")</formula>
    </cfRule>
  </conditionalFormatting>
  <conditionalFormatting sqref="I22 I31:I36 I46:I48 I58:I98 I108:I125 I147:I149 I159:I168 I178:I185">
    <cfRule type="expression" dxfId="18" priority="6">
      <formula>AND(K22&gt;0,I22="")</formula>
    </cfRule>
  </conditionalFormatting>
  <conditionalFormatting sqref="J22 J32:J36 J46:J48 J58:J98 J108:J125 J147:J149 J159:J168 J178:J185">
    <cfRule type="expression" dxfId="17" priority="5">
      <formula>AND(K22&gt;0,J22="")</formula>
    </cfRule>
  </conditionalFormatting>
  <conditionalFormatting sqref="M22 M32:M36 M46:M48 M58:M98 M108:M125 M147:M149 M159:M168 M178:M185">
    <cfRule type="expression" dxfId="16" priority="4">
      <formula>AND(O22&gt;0,M22="")</formula>
    </cfRule>
  </conditionalFormatting>
  <conditionalFormatting sqref="N178:N185 N159:N168 N147:N149 N108:N125 N58:N98 N46:N48 N32:N36 N22">
    <cfRule type="expression" dxfId="15" priority="3">
      <formula>AND(O22&gt;0,N22="")</formula>
    </cfRule>
  </conditionalFormatting>
  <pageMargins left="0.19685039370078741" right="0.19685039370078741" top="0.74803149606299213" bottom="0.19685039370078741" header="0.31496062992125984" footer="0.31496062992125984"/>
  <pageSetup paperSize="9" scale="60" fitToHeight="6" orientation="landscape" r:id="rId1"/>
  <rowBreaks count="5" manualBreakCount="5">
    <brk id="37" max="15" man="1"/>
    <brk id="71" max="15" man="1"/>
    <brk id="100" max="15" man="1"/>
    <brk id="127" max="15" man="1"/>
    <brk id="162" max="15" man="1"/>
  </rowBreaks>
  <extLst>
    <ext xmlns:x14="http://schemas.microsoft.com/office/spreadsheetml/2009/9/main" uri="{78C0D931-6437-407d-A8EE-F0AAD7539E65}">
      <x14:conditionalFormattings>
        <x14:conditionalFormatting xmlns:xm="http://schemas.microsoft.com/office/excel/2006/main">
          <x14:cfRule type="expression" priority="1" id="{72846610-B0BC-464E-B06E-21247BB820E7}">
            <xm:f>Титульный!$Z$1="скрыть"</xm:f>
            <x14:dxf>
              <fill>
                <patternFill>
                  <bgColor theme="0"/>
                </patternFill>
              </fill>
            </x14:dxf>
          </x14:cfRule>
          <xm:sqref>A1:P1048576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Лист12">
    <tabColor theme="8" tint="0.59999389629810485"/>
  </sheetPr>
  <dimension ref="A1:AD182"/>
  <sheetViews>
    <sheetView view="pageBreakPreview" topLeftCell="A71" zoomScale="85" zoomScaleNormal="70" zoomScaleSheetLayoutView="85" workbookViewId="0">
      <selection activeCell="K70" sqref="K69:L70"/>
    </sheetView>
  </sheetViews>
  <sheetFormatPr defaultRowHeight="15.75"/>
  <cols>
    <col min="1" max="1" width="11.28515625" customWidth="1"/>
    <col min="2" max="2" width="4.85546875" style="257" customWidth="1"/>
    <col min="3" max="3" width="41.140625" customWidth="1"/>
    <col min="4" max="4" width="12.42578125" customWidth="1"/>
    <col min="5" max="16" width="12.7109375" customWidth="1"/>
    <col min="17" max="19" width="9.140625" style="274"/>
    <col min="20" max="20" width="9.140625" style="148"/>
  </cols>
  <sheetData>
    <row r="1" spans="1:29" s="215" customFormat="1" ht="27.75" customHeight="1">
      <c r="A1" s="1927" t="s">
        <v>725</v>
      </c>
      <c r="B1" s="1927"/>
      <c r="C1" s="1927"/>
      <c r="D1" s="1927"/>
      <c r="E1" s="1927"/>
      <c r="F1" s="1927"/>
      <c r="G1" s="1927"/>
      <c r="H1" s="1927"/>
      <c r="I1" s="1927"/>
      <c r="J1" s="1927"/>
      <c r="K1" s="1927"/>
      <c r="L1" s="1927"/>
      <c r="M1" s="1927"/>
      <c r="N1" s="1927"/>
      <c r="O1" s="1927"/>
      <c r="P1" s="1927"/>
      <c r="Q1" s="266"/>
      <c r="R1" s="266"/>
      <c r="S1" s="266"/>
      <c r="T1" s="214"/>
    </row>
    <row r="2" spans="1:29" s="215" customFormat="1" ht="27.75" customHeight="1">
      <c r="A2" s="1776" t="s">
        <v>556</v>
      </c>
      <c r="B2" s="1776"/>
      <c r="C2" s="1776"/>
      <c r="D2" s="1776"/>
      <c r="E2" s="1776"/>
      <c r="F2" s="1776"/>
      <c r="G2" s="1776"/>
      <c r="H2" s="1776"/>
      <c r="I2" s="1776"/>
      <c r="J2" s="1776"/>
      <c r="K2" s="1776"/>
      <c r="L2" s="1776"/>
      <c r="M2" s="1776"/>
      <c r="N2" s="1776"/>
      <c r="O2" s="1776"/>
      <c r="P2" s="1776"/>
      <c r="Q2" s="266"/>
      <c r="R2" s="266"/>
      <c r="S2" s="266"/>
      <c r="T2" s="214"/>
    </row>
    <row r="3" spans="1:29" s="215" customFormat="1" ht="27.75" customHeight="1">
      <c r="A3" s="1643" t="s">
        <v>557</v>
      </c>
      <c r="B3" s="1643"/>
      <c r="C3" s="1643"/>
      <c r="D3" s="1643"/>
      <c r="E3" s="1643"/>
      <c r="F3" s="1643"/>
      <c r="G3" s="1643"/>
      <c r="H3" s="1643"/>
      <c r="I3" s="1643"/>
      <c r="J3" s="1643"/>
      <c r="K3" s="1643"/>
      <c r="L3" s="1643"/>
      <c r="M3" s="1643"/>
      <c r="N3" s="1643"/>
      <c r="O3" s="1643"/>
      <c r="P3" s="1643"/>
      <c r="Q3" s="266"/>
      <c r="R3" s="266"/>
      <c r="S3" s="266"/>
      <c r="T3" s="214"/>
    </row>
    <row r="4" spans="1:29" s="144" customFormat="1" ht="12" customHeight="1">
      <c r="B4" s="256"/>
      <c r="Q4" s="272"/>
      <c r="R4" s="272"/>
      <c r="S4" s="272"/>
      <c r="T4" s="146"/>
    </row>
    <row r="5" spans="1:29" s="144" customFormat="1" ht="33.75" customHeight="1">
      <c r="A5" s="1687" t="s">
        <v>541</v>
      </c>
      <c r="B5" s="1651" t="s">
        <v>430</v>
      </c>
      <c r="C5" s="1928" t="s">
        <v>553</v>
      </c>
      <c r="D5" s="1929"/>
      <c r="E5" s="1858" t="s">
        <v>1114</v>
      </c>
      <c r="F5" s="1859"/>
      <c r="G5" s="1859"/>
      <c r="H5" s="1887"/>
      <c r="I5" s="1856" t="s">
        <v>1115</v>
      </c>
      <c r="J5" s="1854"/>
      <c r="K5" s="1854"/>
      <c r="L5" s="1855"/>
      <c r="M5" s="1853" t="s">
        <v>1116</v>
      </c>
      <c r="N5" s="1854"/>
      <c r="O5" s="1854"/>
      <c r="P5" s="1855"/>
      <c r="Q5" s="272"/>
      <c r="R5" s="272"/>
      <c r="S5" s="272"/>
      <c r="T5" s="146"/>
      <c r="Z5" s="137">
        <f t="shared" ref="Z5:Z36" si="0">SUM(AA5:AR5)</f>
        <v>0</v>
      </c>
      <c r="AA5" s="137">
        <f>SUM(H8:H12)-SUBTOTAL(109,H8:H12)</f>
        <v>0</v>
      </c>
      <c r="AB5" s="137">
        <f>SUM(L8:L12)-SUBTOTAL(109,L8:L12)</f>
        <v>0</v>
      </c>
      <c r="AC5" s="137">
        <f>SUM(P8:P12)-SUBTOTAL(109,P8:P12)</f>
        <v>0</v>
      </c>
    </row>
    <row r="6" spans="1:29" s="144" customFormat="1" ht="38.25">
      <c r="A6" s="1688"/>
      <c r="B6" s="1684"/>
      <c r="C6" s="1930"/>
      <c r="D6" s="1931"/>
      <c r="E6" s="172" t="s">
        <v>558</v>
      </c>
      <c r="F6" s="173" t="s">
        <v>555</v>
      </c>
      <c r="G6" s="173" t="s">
        <v>559</v>
      </c>
      <c r="H6" s="174" t="s">
        <v>496</v>
      </c>
      <c r="I6" s="175" t="s">
        <v>558</v>
      </c>
      <c r="J6" s="173" t="s">
        <v>555</v>
      </c>
      <c r="K6" s="173" t="s">
        <v>559</v>
      </c>
      <c r="L6" s="176" t="s">
        <v>496</v>
      </c>
      <c r="M6" s="172" t="s">
        <v>558</v>
      </c>
      <c r="N6" s="173" t="s">
        <v>555</v>
      </c>
      <c r="O6" s="173" t="s">
        <v>559</v>
      </c>
      <c r="P6" s="176" t="s">
        <v>496</v>
      </c>
      <c r="Q6" s="272"/>
      <c r="R6" s="272"/>
      <c r="S6" s="272"/>
      <c r="T6" s="146"/>
      <c r="Z6" s="137">
        <f t="shared" si="0"/>
        <v>0</v>
      </c>
    </row>
    <row r="7" spans="1:29" s="144" customFormat="1">
      <c r="A7" s="187" t="s">
        <v>6</v>
      </c>
      <c r="B7" s="367" t="s">
        <v>7</v>
      </c>
      <c r="C7" s="1653" t="s">
        <v>8</v>
      </c>
      <c r="D7" s="1654"/>
      <c r="E7" s="186" t="s">
        <v>9</v>
      </c>
      <c r="F7" s="178" t="s">
        <v>10</v>
      </c>
      <c r="G7" s="178" t="s">
        <v>417</v>
      </c>
      <c r="H7" s="180" t="s">
        <v>560</v>
      </c>
      <c r="I7" s="187" t="s">
        <v>415</v>
      </c>
      <c r="J7" s="178" t="s">
        <v>414</v>
      </c>
      <c r="K7" s="178" t="s">
        <v>413</v>
      </c>
      <c r="L7" s="179" t="s">
        <v>561</v>
      </c>
      <c r="M7" s="186" t="s">
        <v>419</v>
      </c>
      <c r="N7" s="178" t="s">
        <v>517</v>
      </c>
      <c r="O7" s="178" t="s">
        <v>562</v>
      </c>
      <c r="P7" s="179" t="s">
        <v>563</v>
      </c>
      <c r="Q7" s="272"/>
      <c r="R7" s="272"/>
      <c r="S7" s="272"/>
      <c r="T7" s="146"/>
      <c r="Z7" s="137">
        <f t="shared" si="0"/>
        <v>0</v>
      </c>
    </row>
    <row r="8" spans="1:29" s="122" customFormat="1" ht="27.75" customHeight="1">
      <c r="A8" s="236">
        <v>244</v>
      </c>
      <c r="B8" s="241"/>
      <c r="C8" s="1810" t="s">
        <v>615</v>
      </c>
      <c r="D8" s="1914"/>
      <c r="E8" s="720"/>
      <c r="F8" s="717"/>
      <c r="G8" s="717"/>
      <c r="H8" s="745">
        <f>E8*F8*G8</f>
        <v>0</v>
      </c>
      <c r="I8" s="350"/>
      <c r="J8" s="717"/>
      <c r="K8" s="717"/>
      <c r="L8" s="719">
        <f>I8*J8*K8</f>
        <v>0</v>
      </c>
      <c r="M8" s="720"/>
      <c r="N8" s="717"/>
      <c r="O8" s="717"/>
      <c r="P8" s="719">
        <f>M8*N8*O8</f>
        <v>0</v>
      </c>
      <c r="Q8" s="266"/>
      <c r="R8" s="266"/>
      <c r="S8" s="266"/>
      <c r="T8" s="149"/>
      <c r="Z8" s="137">
        <f t="shared" si="0"/>
        <v>0</v>
      </c>
    </row>
    <row r="9" spans="1:29" s="122" customFormat="1" ht="27.75" customHeight="1">
      <c r="A9" s="218">
        <v>244</v>
      </c>
      <c r="B9" s="216"/>
      <c r="C9" s="1823" t="s">
        <v>619</v>
      </c>
      <c r="D9" s="1891"/>
      <c r="E9" s="721"/>
      <c r="F9" s="716"/>
      <c r="G9" s="716"/>
      <c r="H9" s="740">
        <f>E9*F9*G9</f>
        <v>0</v>
      </c>
      <c r="I9" s="723"/>
      <c r="J9" s="716"/>
      <c r="K9" s="716"/>
      <c r="L9" s="722">
        <f>I9*J9*K9</f>
        <v>0</v>
      </c>
      <c r="M9" s="721"/>
      <c r="N9" s="716"/>
      <c r="O9" s="716"/>
      <c r="P9" s="722">
        <f>M9*N9*O9</f>
        <v>0</v>
      </c>
      <c r="Q9" s="266"/>
      <c r="R9" s="266"/>
      <c r="S9" s="266"/>
      <c r="T9" s="149"/>
      <c r="Z9" s="137">
        <f t="shared" si="0"/>
        <v>0</v>
      </c>
    </row>
    <row r="10" spans="1:29" s="122" customFormat="1" ht="27.75" customHeight="1">
      <c r="A10" s="218">
        <v>244</v>
      </c>
      <c r="B10" s="216"/>
      <c r="C10" s="1823" t="s">
        <v>620</v>
      </c>
      <c r="D10" s="1891"/>
      <c r="E10" s="721"/>
      <c r="F10" s="716"/>
      <c r="G10" s="716"/>
      <c r="H10" s="740">
        <f>E10*F10*G10</f>
        <v>0</v>
      </c>
      <c r="I10" s="723"/>
      <c r="J10" s="716"/>
      <c r="K10" s="716"/>
      <c r="L10" s="722">
        <f>I10*J10*K10</f>
        <v>0</v>
      </c>
      <c r="M10" s="721"/>
      <c r="N10" s="716"/>
      <c r="O10" s="716"/>
      <c r="P10" s="722">
        <f>M10*N10*O10</f>
        <v>0</v>
      </c>
      <c r="Q10" s="266"/>
      <c r="R10" s="266"/>
      <c r="S10" s="266"/>
      <c r="T10" s="149"/>
      <c r="Z10" s="137">
        <f t="shared" si="0"/>
        <v>0</v>
      </c>
    </row>
    <row r="11" spans="1:29" s="122" customFormat="1" ht="27.75" customHeight="1">
      <c r="A11" s="218">
        <v>244</v>
      </c>
      <c r="B11" s="216"/>
      <c r="C11" s="1823" t="s">
        <v>621</v>
      </c>
      <c r="D11" s="1891"/>
      <c r="E11" s="721"/>
      <c r="F11" s="716"/>
      <c r="G11" s="716"/>
      <c r="H11" s="740">
        <f>E11*F11*G11</f>
        <v>0</v>
      </c>
      <c r="I11" s="723"/>
      <c r="J11" s="716"/>
      <c r="K11" s="716"/>
      <c r="L11" s="722">
        <f>I11*J11*K11</f>
        <v>0</v>
      </c>
      <c r="M11" s="721"/>
      <c r="N11" s="716"/>
      <c r="O11" s="716"/>
      <c r="P11" s="722">
        <f>M11*N11*O11</f>
        <v>0</v>
      </c>
      <c r="Q11" s="266"/>
      <c r="R11" s="266"/>
      <c r="S11" s="266"/>
      <c r="T11" s="149"/>
      <c r="Z11" s="137">
        <f t="shared" si="0"/>
        <v>0</v>
      </c>
    </row>
    <row r="12" spans="1:29" s="122" customFormat="1" ht="27.75" customHeight="1">
      <c r="A12" s="218">
        <v>244</v>
      </c>
      <c r="B12" s="216"/>
      <c r="C12" s="1823" t="s">
        <v>616</v>
      </c>
      <c r="D12" s="1891"/>
      <c r="E12" s="721"/>
      <c r="F12" s="716"/>
      <c r="G12" s="716"/>
      <c r="H12" s="740">
        <f>H13-SUM(H8:H11)</f>
        <v>0</v>
      </c>
      <c r="I12" s="723"/>
      <c r="J12" s="716"/>
      <c r="K12" s="716"/>
      <c r="L12" s="722">
        <f>L13-SUM(L8:L11)</f>
        <v>0</v>
      </c>
      <c r="M12" s="721"/>
      <c r="N12" s="716"/>
      <c r="O12" s="716"/>
      <c r="P12" s="722">
        <f>P13-SUM(P8:P11)</f>
        <v>0</v>
      </c>
      <c r="Q12" s="266"/>
      <c r="R12" s="266"/>
      <c r="S12" s="266"/>
      <c r="T12" s="149"/>
      <c r="Z12" s="137">
        <f t="shared" si="0"/>
        <v>0</v>
      </c>
    </row>
    <row r="13" spans="1:29" s="122" customFormat="1" ht="27.75" customHeight="1">
      <c r="A13" s="258"/>
      <c r="B13" s="259"/>
      <c r="C13" s="1904" t="s">
        <v>554</v>
      </c>
      <c r="D13" s="1905"/>
      <c r="E13" s="718" t="s">
        <v>412</v>
      </c>
      <c r="F13" s="734" t="s">
        <v>412</v>
      </c>
      <c r="G13" s="734" t="s">
        <v>412</v>
      </c>
      <c r="H13" s="905">
        <f>SUMIFS(Титульный!$O$69:$O$292,
Титульный!$K$69:$K$292,'КФО 5'!$Q13,
Титульный!$L$69:$L$292,'КФО 5'!$R13,
Титульный!$N$69:$N$292,'КФО 5'!$S13)</f>
        <v>0</v>
      </c>
      <c r="I13" s="736" t="s">
        <v>412</v>
      </c>
      <c r="J13" s="734" t="s">
        <v>412</v>
      </c>
      <c r="K13" s="734" t="s">
        <v>412</v>
      </c>
      <c r="L13" s="906">
        <f>SUMIFS(Титульный!$P$69:$P$292,
Титульный!$K$69:$K$292,'КФО 5'!$Q13,
Титульный!$L$69:$L$292,'КФО 5'!$R13,
Титульный!$N$69:$N$292,'КФО 5'!$S13)</f>
        <v>0</v>
      </c>
      <c r="M13" s="718" t="s">
        <v>412</v>
      </c>
      <c r="N13" s="734" t="s">
        <v>412</v>
      </c>
      <c r="O13" s="734" t="s">
        <v>412</v>
      </c>
      <c r="P13" s="906">
        <f>SUMIFS(Титульный!$Q$69:$Q$292,
Титульный!$K$69:$K$292,'КФО 5'!$Q13,
Титульный!$L$69:$L$292,'КФО 5'!$R13,
Титульный!$N$69:$N$292,'КФО 5'!$S13)</f>
        <v>0</v>
      </c>
      <c r="Q13" s="266">
        <v>5</v>
      </c>
      <c r="R13" s="266">
        <v>244</v>
      </c>
      <c r="S13" s="266">
        <v>221</v>
      </c>
      <c r="T13" s="149"/>
      <c r="Z13" s="137">
        <f t="shared" si="0"/>
        <v>0</v>
      </c>
    </row>
    <row r="14" spans="1:29" s="144" customFormat="1" ht="12" customHeight="1">
      <c r="B14" s="256"/>
      <c r="Q14" s="272"/>
      <c r="R14" s="272"/>
      <c r="S14" s="272"/>
      <c r="T14" s="146"/>
      <c r="Z14" s="137">
        <f t="shared" si="0"/>
        <v>0</v>
      </c>
    </row>
    <row r="15" spans="1:29" s="144" customFormat="1" ht="12" hidden="1" customHeight="1">
      <c r="B15" s="256"/>
      <c r="Q15" s="272"/>
      <c r="R15" s="272"/>
      <c r="S15" s="272"/>
      <c r="T15" s="146"/>
      <c r="Z15" s="137">
        <f t="shared" si="0"/>
        <v>0</v>
      </c>
    </row>
    <row r="16" spans="1:29" s="144" customFormat="1" ht="12" hidden="1" customHeight="1">
      <c r="B16" s="256"/>
      <c r="Q16" s="272"/>
      <c r="R16" s="272"/>
      <c r="S16" s="272"/>
      <c r="T16" s="146"/>
      <c r="Z16" s="137">
        <f t="shared" si="0"/>
        <v>0</v>
      </c>
    </row>
    <row r="17" spans="1:29" s="215" customFormat="1" ht="27.75" customHeight="1">
      <c r="A17" s="1643" t="s">
        <v>564</v>
      </c>
      <c r="B17" s="1643"/>
      <c r="C17" s="1643"/>
      <c r="D17" s="1643"/>
      <c r="E17" s="1643"/>
      <c r="F17" s="1643"/>
      <c r="G17" s="1643"/>
      <c r="H17" s="1643"/>
      <c r="I17" s="1643"/>
      <c r="J17" s="1643"/>
      <c r="K17" s="1643"/>
      <c r="L17" s="1643"/>
      <c r="M17" s="1643"/>
      <c r="N17" s="1643"/>
      <c r="O17" s="1643"/>
      <c r="P17" s="1643"/>
      <c r="Q17" s="266"/>
      <c r="R17" s="266"/>
      <c r="S17" s="266"/>
      <c r="T17" s="214"/>
      <c r="Z17" s="137">
        <f t="shared" si="0"/>
        <v>0</v>
      </c>
    </row>
    <row r="18" spans="1:29" s="144" customFormat="1" ht="12" customHeight="1">
      <c r="B18" s="256"/>
      <c r="Q18" s="272"/>
      <c r="R18" s="272"/>
      <c r="S18" s="272"/>
      <c r="T18" s="146"/>
      <c r="Z18" s="137">
        <f t="shared" si="0"/>
        <v>0</v>
      </c>
    </row>
    <row r="19" spans="1:29" s="144" customFormat="1" ht="33" customHeight="1">
      <c r="A19" s="1687" t="s">
        <v>541</v>
      </c>
      <c r="B19" s="1651" t="s">
        <v>430</v>
      </c>
      <c r="C19" s="1928" t="s">
        <v>553</v>
      </c>
      <c r="D19" s="1929"/>
      <c r="E19" s="1858" t="s">
        <v>1114</v>
      </c>
      <c r="F19" s="1859"/>
      <c r="G19" s="1859"/>
      <c r="H19" s="1887"/>
      <c r="I19" s="1856" t="s">
        <v>1115</v>
      </c>
      <c r="J19" s="1854"/>
      <c r="K19" s="1854"/>
      <c r="L19" s="1855"/>
      <c r="M19" s="1853" t="s">
        <v>1116</v>
      </c>
      <c r="N19" s="1854"/>
      <c r="O19" s="1854"/>
      <c r="P19" s="1855"/>
      <c r="Q19" s="272"/>
      <c r="R19" s="272"/>
      <c r="S19" s="272"/>
      <c r="T19" s="146"/>
      <c r="Z19" s="137">
        <f t="shared" si="0"/>
        <v>0</v>
      </c>
      <c r="AA19" s="137">
        <f>SUM(G22)-SUBTOTAL(109,G22)</f>
        <v>0</v>
      </c>
      <c r="AB19" s="137">
        <f>SUM(K22)-SUBTOTAL(109,K22)</f>
        <v>0</v>
      </c>
      <c r="AC19" s="137">
        <f>SUM(O22)-SUBTOTAL(109,O22)</f>
        <v>0</v>
      </c>
    </row>
    <row r="20" spans="1:29" s="144" customFormat="1" ht="51">
      <c r="A20" s="1688"/>
      <c r="B20" s="1684"/>
      <c r="C20" s="1930"/>
      <c r="D20" s="1931"/>
      <c r="E20" s="169" t="s">
        <v>565</v>
      </c>
      <c r="F20" s="171" t="s">
        <v>566</v>
      </c>
      <c r="G20" s="1838" t="s">
        <v>496</v>
      </c>
      <c r="H20" s="1839"/>
      <c r="I20" s="169" t="s">
        <v>565</v>
      </c>
      <c r="J20" s="171" t="s">
        <v>566</v>
      </c>
      <c r="K20" s="1838" t="s">
        <v>496</v>
      </c>
      <c r="L20" s="1839"/>
      <c r="M20" s="169" t="s">
        <v>565</v>
      </c>
      <c r="N20" s="171" t="s">
        <v>566</v>
      </c>
      <c r="O20" s="1838" t="s">
        <v>496</v>
      </c>
      <c r="P20" s="1839"/>
      <c r="Q20" s="272"/>
      <c r="R20" s="272"/>
      <c r="S20" s="272"/>
      <c r="T20" s="146"/>
      <c r="Z20" s="137">
        <f t="shared" si="0"/>
        <v>0</v>
      </c>
    </row>
    <row r="21" spans="1:29" s="121" customFormat="1">
      <c r="A21" s="187" t="s">
        <v>6</v>
      </c>
      <c r="B21" s="362" t="s">
        <v>7</v>
      </c>
      <c r="C21" s="1906" t="s">
        <v>8</v>
      </c>
      <c r="D21" s="1907"/>
      <c r="E21" s="187">
        <v>4</v>
      </c>
      <c r="F21" s="178">
        <v>5</v>
      </c>
      <c r="G21" s="1653" t="s">
        <v>716</v>
      </c>
      <c r="H21" s="1654"/>
      <c r="I21" s="187">
        <v>7</v>
      </c>
      <c r="J21" s="178">
        <v>8</v>
      </c>
      <c r="K21" s="1653" t="s">
        <v>717</v>
      </c>
      <c r="L21" s="1654"/>
      <c r="M21" s="187" t="s">
        <v>413</v>
      </c>
      <c r="N21" s="178" t="s">
        <v>418</v>
      </c>
      <c r="O21" s="1653" t="s">
        <v>499</v>
      </c>
      <c r="P21" s="1654"/>
      <c r="Q21" s="273"/>
      <c r="R21" s="273"/>
      <c r="S21" s="273"/>
      <c r="T21" s="147"/>
      <c r="Z21" s="137">
        <f t="shared" si="0"/>
        <v>0</v>
      </c>
    </row>
    <row r="22" spans="1:29" s="122" customFormat="1" ht="27.75" customHeight="1">
      <c r="A22" s="236">
        <v>244</v>
      </c>
      <c r="B22" s="247" t="s">
        <v>6</v>
      </c>
      <c r="C22" s="1810" t="s">
        <v>617</v>
      </c>
      <c r="D22" s="1810"/>
      <c r="E22" s="350">
        <f>ROUNDUP(G22/10000,0)</f>
        <v>0</v>
      </c>
      <c r="F22" s="717">
        <f>IFERROR(ROUND(G22/E22,2),0)</f>
        <v>0</v>
      </c>
      <c r="G22" s="1704">
        <f>G23</f>
        <v>0</v>
      </c>
      <c r="H22" s="1708"/>
      <c r="I22" s="350">
        <f>ROUNDUP(K22/10000,0)</f>
        <v>0</v>
      </c>
      <c r="J22" s="717">
        <f>IFERROR(ROUND(K22/I22,2),0)</f>
        <v>0</v>
      </c>
      <c r="K22" s="1704">
        <f>K23</f>
        <v>0</v>
      </c>
      <c r="L22" s="1708"/>
      <c r="M22" s="350">
        <f>ROUNDUP(O22/10000,0)</f>
        <v>0</v>
      </c>
      <c r="N22" s="717">
        <f>IFERROR(ROUND(O22/M22,2),0)</f>
        <v>0</v>
      </c>
      <c r="O22" s="1704">
        <f>O23</f>
        <v>0</v>
      </c>
      <c r="P22" s="1708"/>
      <c r="Q22" s="266"/>
      <c r="R22" s="266"/>
      <c r="S22" s="266"/>
      <c r="T22" s="149"/>
      <c r="Z22" s="137">
        <f t="shared" si="0"/>
        <v>0</v>
      </c>
    </row>
    <row r="23" spans="1:29" s="267" customFormat="1" ht="27.75" customHeight="1">
      <c r="A23" s="258"/>
      <c r="B23" s="261"/>
      <c r="C23" s="1904" t="s">
        <v>554</v>
      </c>
      <c r="D23" s="1905"/>
      <c r="E23" s="736" t="s">
        <v>412</v>
      </c>
      <c r="F23" s="734" t="s">
        <v>412</v>
      </c>
      <c r="G23" s="1667">
        <f>SUMIFS(Титульный!$O$69:$O$292,Титульный!$K$69:$K$292,'КФО 5'!$Q23,Титульный!$L$69:$L$292,'КФО 5'!$R23,Титульный!$N$69:$N$292,'КФО 5'!$S23)</f>
        <v>0</v>
      </c>
      <c r="H23" s="1800">
        <f>SUMIFS(Титульный!$O$69:$O$292,Титульный!$K$69:$K$292,'КФО 5'!$Q23,Титульный!$L$69:$L$292,'КФО 5'!$R23,Титульный!$N$69:$N$292,'КФО 5'!$S23)</f>
        <v>0</v>
      </c>
      <c r="I23" s="736" t="s">
        <v>412</v>
      </c>
      <c r="J23" s="734" t="s">
        <v>412</v>
      </c>
      <c r="K23" s="1886">
        <f>SUMIFS(Титульный!$P$69:$P$292,
Титульный!$K$69:$K$292,'КФО 5'!$Q23,
Титульный!$L$69:$L$292,'КФО 5'!$R23,
Титульный!$N$69:$N$292,'КФО 5'!$S23)</f>
        <v>0</v>
      </c>
      <c r="L23" s="1800">
        <f>SUMIFS(Титульный!$P$69:$P$292,
Титульный!$K$69:$K$292,'КФО 5'!$Q23,
Титульный!$L$69:$L$292,'КФО 5'!$R23,
Титульный!$N$69:$N$292,'КФО 5'!$S23)</f>
        <v>0</v>
      </c>
      <c r="M23" s="736" t="s">
        <v>412</v>
      </c>
      <c r="N23" s="734" t="s">
        <v>412</v>
      </c>
      <c r="O23" s="1886">
        <f>SUMIFS(Титульный!$Q$69:$Q$292,
Титульный!$K$69:$K$292,'КФО 5'!$Q23,
Титульный!$L$69:$L$292,'КФО 5'!$R23,
Титульный!$N$69:$N$292,'КФО 5'!$S23)</f>
        <v>0</v>
      </c>
      <c r="P23" s="1800">
        <f>SUMIFS(Титульный!$Q$69:$Q$292,
Титульный!$K$69:$K$292,'КФО 5'!$Q23,
Титульный!$L$69:$L$292,'КФО 5'!$R23,
Титульный!$N$69:$N$292,'КФО 5'!$S23)</f>
        <v>0</v>
      </c>
      <c r="Q23" s="266">
        <v>5</v>
      </c>
      <c r="R23" s="266">
        <v>244</v>
      </c>
      <c r="S23" s="266">
        <v>222</v>
      </c>
      <c r="T23" s="266"/>
      <c r="Z23" s="137">
        <f t="shared" si="0"/>
        <v>0</v>
      </c>
    </row>
    <row r="24" spans="1:29" s="144" customFormat="1" ht="12" customHeight="1">
      <c r="B24" s="256"/>
      <c r="Q24" s="272"/>
      <c r="R24" s="272"/>
      <c r="S24" s="272"/>
      <c r="T24" s="146"/>
      <c r="Z24" s="137">
        <f t="shared" si="0"/>
        <v>0</v>
      </c>
    </row>
    <row r="25" spans="1:29" s="144" customFormat="1" ht="12" hidden="1" customHeight="1">
      <c r="B25" s="256"/>
      <c r="Q25" s="272"/>
      <c r="R25" s="272"/>
      <c r="S25" s="272"/>
      <c r="T25" s="146"/>
      <c r="Z25" s="137">
        <f t="shared" si="0"/>
        <v>0</v>
      </c>
    </row>
    <row r="26" spans="1:29" s="144" customFormat="1" ht="12" hidden="1" customHeight="1">
      <c r="B26" s="256"/>
      <c r="Q26" s="272"/>
      <c r="R26" s="272"/>
      <c r="S26" s="272"/>
      <c r="T26" s="146"/>
      <c r="Z26" s="137">
        <f t="shared" si="0"/>
        <v>0</v>
      </c>
    </row>
    <row r="27" spans="1:29" s="215" customFormat="1" ht="27.75" customHeight="1">
      <c r="A27" s="1643" t="s">
        <v>567</v>
      </c>
      <c r="B27" s="1643"/>
      <c r="C27" s="1643"/>
      <c r="D27" s="1643"/>
      <c r="E27" s="1643"/>
      <c r="F27" s="1643"/>
      <c r="G27" s="1643"/>
      <c r="H27" s="1643"/>
      <c r="I27" s="1643"/>
      <c r="J27" s="1643"/>
      <c r="K27" s="1643"/>
      <c r="L27" s="1643"/>
      <c r="M27" s="1643"/>
      <c r="N27" s="1643"/>
      <c r="O27" s="1643"/>
      <c r="P27" s="1643"/>
      <c r="Q27" s="266"/>
      <c r="R27" s="266"/>
      <c r="S27" s="266"/>
      <c r="T27" s="214"/>
      <c r="Z27" s="137">
        <f t="shared" si="0"/>
        <v>0</v>
      </c>
    </row>
    <row r="28" spans="1:29" s="144" customFormat="1" ht="12" customHeight="1">
      <c r="B28" s="256"/>
      <c r="Q28" s="272"/>
      <c r="R28" s="272"/>
      <c r="S28" s="272"/>
      <c r="T28" s="146"/>
      <c r="Z28" s="137">
        <f t="shared" si="0"/>
        <v>0</v>
      </c>
    </row>
    <row r="29" spans="1:29" s="144" customFormat="1" ht="33.75" customHeight="1">
      <c r="A29" s="1687" t="s">
        <v>541</v>
      </c>
      <c r="B29" s="1651" t="s">
        <v>430</v>
      </c>
      <c r="C29" s="1892" t="s">
        <v>0</v>
      </c>
      <c r="D29" s="1696" t="s">
        <v>211</v>
      </c>
      <c r="E29" s="1858" t="s">
        <v>1114</v>
      </c>
      <c r="F29" s="1859"/>
      <c r="G29" s="1859"/>
      <c r="H29" s="1887"/>
      <c r="I29" s="1856" t="s">
        <v>1115</v>
      </c>
      <c r="J29" s="1854"/>
      <c r="K29" s="1854"/>
      <c r="L29" s="1855"/>
      <c r="M29" s="1853" t="s">
        <v>1116</v>
      </c>
      <c r="N29" s="1854"/>
      <c r="O29" s="1854"/>
      <c r="P29" s="1855"/>
      <c r="Q29" s="272"/>
      <c r="R29" s="272"/>
      <c r="S29" s="272"/>
      <c r="T29" s="146"/>
      <c r="Z29" s="137">
        <f t="shared" si="0"/>
        <v>0</v>
      </c>
      <c r="AA29" s="137">
        <f>SUM(G32:H35)-SUBTOTAL(109,G32:H35)</f>
        <v>0</v>
      </c>
      <c r="AB29" s="137">
        <f>SUM(K32:L35)-SUBTOTAL(109,K32:L35)</f>
        <v>0</v>
      </c>
      <c r="AC29" s="137">
        <f>SUM(O32:P35)-SUBTOTAL(109,O32:P35)</f>
        <v>0</v>
      </c>
    </row>
    <row r="30" spans="1:29" s="144" customFormat="1" ht="38.25">
      <c r="A30" s="1688"/>
      <c r="B30" s="1684"/>
      <c r="C30" s="1847"/>
      <c r="D30" s="1698"/>
      <c r="E30" s="169" t="s">
        <v>568</v>
      </c>
      <c r="F30" s="171" t="s">
        <v>569</v>
      </c>
      <c r="G30" s="1838" t="s">
        <v>496</v>
      </c>
      <c r="H30" s="1839"/>
      <c r="I30" s="169" t="s">
        <v>568</v>
      </c>
      <c r="J30" s="171" t="s">
        <v>569</v>
      </c>
      <c r="K30" s="1838" t="s">
        <v>496</v>
      </c>
      <c r="L30" s="1839"/>
      <c r="M30" s="169" t="s">
        <v>568</v>
      </c>
      <c r="N30" s="171" t="s">
        <v>569</v>
      </c>
      <c r="O30" s="1838" t="s">
        <v>496</v>
      </c>
      <c r="P30" s="1839"/>
      <c r="Q30" s="272"/>
      <c r="R30" s="272"/>
      <c r="S30" s="272"/>
      <c r="T30" s="146"/>
      <c r="Z30" s="137">
        <f t="shared" si="0"/>
        <v>0</v>
      </c>
    </row>
    <row r="31" spans="1:29" s="121" customFormat="1">
      <c r="A31" s="187" t="s">
        <v>6</v>
      </c>
      <c r="B31" s="362" t="s">
        <v>7</v>
      </c>
      <c r="C31" s="178" t="s">
        <v>8</v>
      </c>
      <c r="D31" s="179" t="s">
        <v>9</v>
      </c>
      <c r="E31" s="187">
        <v>5</v>
      </c>
      <c r="F31" s="178">
        <v>6</v>
      </c>
      <c r="G31" s="1653" t="s">
        <v>718</v>
      </c>
      <c r="H31" s="1654"/>
      <c r="I31" s="187">
        <v>8</v>
      </c>
      <c r="J31" s="178">
        <v>9</v>
      </c>
      <c r="K31" s="1653" t="s">
        <v>719</v>
      </c>
      <c r="L31" s="1654"/>
      <c r="M31" s="187">
        <v>11</v>
      </c>
      <c r="N31" s="178">
        <v>12</v>
      </c>
      <c r="O31" s="1653" t="s">
        <v>720</v>
      </c>
      <c r="P31" s="1654"/>
      <c r="Q31" s="273"/>
      <c r="R31" s="273"/>
      <c r="S31" s="273"/>
      <c r="T31" s="147"/>
      <c r="Z31" s="137">
        <f t="shared" si="0"/>
        <v>0</v>
      </c>
    </row>
    <row r="32" spans="1:29" s="122" customFormat="1" ht="27.75" customHeight="1">
      <c r="A32" s="225">
        <v>247</v>
      </c>
      <c r="B32" s="226"/>
      <c r="C32" s="227" t="s">
        <v>571</v>
      </c>
      <c r="D32" s="228" t="s">
        <v>722</v>
      </c>
      <c r="E32" s="350">
        <f>ROUND(G32/F32,2)</f>
        <v>0</v>
      </c>
      <c r="F32" s="717">
        <f>'КФО 2'!F32</f>
        <v>5268</v>
      </c>
      <c r="G32" s="1704">
        <f>ROUND(G37*0.750922071,2)</f>
        <v>0</v>
      </c>
      <c r="H32" s="1708"/>
      <c r="I32" s="350">
        <f>ROUND(K32/J32,2)</f>
        <v>0</v>
      </c>
      <c r="J32" s="717">
        <f>'КФО 2'!J32</f>
        <v>5473.4519999999993</v>
      </c>
      <c r="K32" s="1704">
        <f>ROUND(K37*0.750922071,2)</f>
        <v>0</v>
      </c>
      <c r="L32" s="1708"/>
      <c r="M32" s="350">
        <f>ROUND(O32/N32,2)</f>
        <v>0</v>
      </c>
      <c r="N32" s="717">
        <f>'КФО 2'!N32</f>
        <v>5686.916627999999</v>
      </c>
      <c r="O32" s="1704">
        <f>ROUND(O37*0.750922071,2)</f>
        <v>0</v>
      </c>
      <c r="P32" s="1708"/>
      <c r="Q32" s="266"/>
      <c r="R32" s="266"/>
      <c r="S32" s="266"/>
      <c r="T32" s="149"/>
      <c r="Z32" s="137">
        <f t="shared" si="0"/>
        <v>0</v>
      </c>
    </row>
    <row r="33" spans="1:29" s="122" customFormat="1" ht="27.75" customHeight="1">
      <c r="A33" s="218">
        <v>247</v>
      </c>
      <c r="B33" s="217"/>
      <c r="C33" s="229" t="s">
        <v>570</v>
      </c>
      <c r="D33" s="219" t="s">
        <v>721</v>
      </c>
      <c r="E33" s="723">
        <f>ROUND(G33/F33,2)</f>
        <v>0</v>
      </c>
      <c r="F33" s="717">
        <f>'КФО 2'!F33</f>
        <v>8.3000000000000007</v>
      </c>
      <c r="G33" s="1882">
        <f>ROUND(G37*0.188520356,2)</f>
        <v>0</v>
      </c>
      <c r="H33" s="1883"/>
      <c r="I33" s="723">
        <f>ROUND(K33/J33,2)</f>
        <v>0</v>
      </c>
      <c r="J33" s="717">
        <f>'КФО 2'!J33</f>
        <v>8.6236999999999995</v>
      </c>
      <c r="K33" s="1882">
        <f>ROUND(K37*0.188520356,2)</f>
        <v>0</v>
      </c>
      <c r="L33" s="1883"/>
      <c r="M33" s="723">
        <f>ROUND(O33/N33,2)</f>
        <v>0</v>
      </c>
      <c r="N33" s="717">
        <f>'КФО 2'!N33</f>
        <v>8.9600242999999988</v>
      </c>
      <c r="O33" s="1882">
        <f>ROUND(O37*0.188520356,2)</f>
        <v>0</v>
      </c>
      <c r="P33" s="1883"/>
      <c r="Q33" s="266"/>
      <c r="R33" s="266"/>
      <c r="S33" s="266"/>
      <c r="T33" s="149"/>
      <c r="Z33" s="137">
        <f t="shared" si="0"/>
        <v>0</v>
      </c>
    </row>
    <row r="34" spans="1:29" s="122" customFormat="1" ht="27.75" customHeight="1">
      <c r="A34" s="218">
        <v>247</v>
      </c>
      <c r="B34" s="217"/>
      <c r="C34" s="230" t="s">
        <v>572</v>
      </c>
      <c r="D34" s="219" t="s">
        <v>723</v>
      </c>
      <c r="E34" s="723">
        <f>ROUND(G34/F34,2)</f>
        <v>0</v>
      </c>
      <c r="F34" s="717">
        <f>'КФО 2'!F34</f>
        <v>93.14</v>
      </c>
      <c r="G34" s="1882">
        <f>ROUND(G37*0.043341343,2)</f>
        <v>0</v>
      </c>
      <c r="H34" s="1883"/>
      <c r="I34" s="723">
        <f>ROUND(K34/J34,2)</f>
        <v>0</v>
      </c>
      <c r="J34" s="717">
        <f>'КФО 2'!J34</f>
        <v>96.772459999999995</v>
      </c>
      <c r="K34" s="1882">
        <f>ROUND(K37*0.043341343,2)</f>
        <v>0</v>
      </c>
      <c r="L34" s="1883"/>
      <c r="M34" s="723">
        <f>ROUND(O34/N34,2)</f>
        <v>0</v>
      </c>
      <c r="N34" s="717">
        <f>'КФО 2'!N34</f>
        <v>100.54658593999999</v>
      </c>
      <c r="O34" s="1882">
        <f>ROUND(O37*0.043341343,2)</f>
        <v>0</v>
      </c>
      <c r="P34" s="1883"/>
      <c r="Q34" s="266"/>
      <c r="R34" s="266"/>
      <c r="S34" s="266"/>
      <c r="T34" s="149"/>
      <c r="Z34" s="137">
        <f t="shared" si="0"/>
        <v>0</v>
      </c>
    </row>
    <row r="35" spans="1:29" s="122" customFormat="1" ht="27.75" customHeight="1">
      <c r="A35" s="218">
        <v>244</v>
      </c>
      <c r="B35" s="217"/>
      <c r="C35" s="230" t="s">
        <v>573</v>
      </c>
      <c r="D35" s="219" t="s">
        <v>723</v>
      </c>
      <c r="E35" s="723">
        <f>ROUND(G35/F35,2)</f>
        <v>0</v>
      </c>
      <c r="F35" s="717">
        <f>'КФО 2'!F35</f>
        <v>1024.8</v>
      </c>
      <c r="G35" s="1638">
        <f>G37-SUM(G32:H34)</f>
        <v>0</v>
      </c>
      <c r="H35" s="1641"/>
      <c r="I35" s="723">
        <f>ROUND(K35/J35,2)</f>
        <v>0</v>
      </c>
      <c r="J35" s="717">
        <f>'КФО 2'!J35</f>
        <v>1064.7671999999998</v>
      </c>
      <c r="K35" s="1638">
        <f>K37-SUM(K32:L34)</f>
        <v>0</v>
      </c>
      <c r="L35" s="1641"/>
      <c r="M35" s="723">
        <f>ROUND(O35/N35,2)</f>
        <v>0</v>
      </c>
      <c r="N35" s="717">
        <f>'КФО 2'!N35</f>
        <v>1106.2931207999998</v>
      </c>
      <c r="O35" s="1638">
        <f>O37-SUM(O32:P34)</f>
        <v>0</v>
      </c>
      <c r="P35" s="1641"/>
      <c r="Q35" s="266"/>
      <c r="R35" s="266"/>
      <c r="S35" s="266"/>
      <c r="T35" s="149"/>
      <c r="Z35" s="137">
        <f t="shared" si="0"/>
        <v>0</v>
      </c>
    </row>
    <row r="36" spans="1:29" s="122" customFormat="1" ht="27.75" customHeight="1">
      <c r="A36" s="231"/>
      <c r="B36" s="246"/>
      <c r="C36" s="233"/>
      <c r="D36" s="234"/>
      <c r="E36" s="742"/>
      <c r="F36" s="738"/>
      <c r="G36" s="1705"/>
      <c r="H36" s="1712"/>
      <c r="I36" s="742"/>
      <c r="J36" s="738"/>
      <c r="K36" s="1705"/>
      <c r="L36" s="1712"/>
      <c r="M36" s="742"/>
      <c r="N36" s="717"/>
      <c r="O36" s="1705"/>
      <c r="P36" s="1712"/>
      <c r="Q36" s="266"/>
      <c r="R36" s="266"/>
      <c r="S36" s="266"/>
      <c r="T36" s="149"/>
      <c r="Z36" s="137">
        <f t="shared" si="0"/>
        <v>0</v>
      </c>
    </row>
    <row r="37" spans="1:29" s="267" customFormat="1" ht="27.75" customHeight="1">
      <c r="A37" s="260"/>
      <c r="B37" s="261"/>
      <c r="C37" s="235" t="s">
        <v>554</v>
      </c>
      <c r="D37" s="262" t="s">
        <v>412</v>
      </c>
      <c r="E37" s="736" t="s">
        <v>412</v>
      </c>
      <c r="F37" s="734" t="s">
        <v>412</v>
      </c>
      <c r="G37" s="1667">
        <f>SUMIFS(Титульный!$O$69:$O$292,Титульный!$K$69:$K$292,'КФО 5'!$Q37,Титульный!$L$69:$L$292,'КФО 5'!$R37,Титульный!$N$69:$N$292,'КФО 5'!$S37)</f>
        <v>0</v>
      </c>
      <c r="H37" s="1800">
        <f>SUMIFS(Титульный!$O$69:$O$292,Титульный!$K$69:$K$292,'КФО 5'!$Q37,Титульный!$L$69:$L$292,'КФО 5'!$R37,Титульный!$N$69:$N$292,'КФО 5'!$S37)</f>
        <v>0</v>
      </c>
      <c r="I37" s="736" t="s">
        <v>412</v>
      </c>
      <c r="J37" s="734" t="s">
        <v>412</v>
      </c>
      <c r="K37" s="1886">
        <f>SUMIFS(Титульный!$P$69:$P$292,
Титульный!$K$69:$K$292,'КФО 5'!$Q37,
Титульный!$L$69:$L$292,'КФО 5'!$R37,
Титульный!$N$69:$N$292,'КФО 5'!$S37)</f>
        <v>0</v>
      </c>
      <c r="L37" s="1800">
        <f>SUMIFS(Титульный!$P$69:$P$292,
Титульный!$K$69:$K$292,'КФО 5'!$Q37,
Титульный!$L$69:$L$292,'КФО 5'!$R37,
Титульный!$N$69:$N$292,'КФО 5'!$S37)</f>
        <v>0</v>
      </c>
      <c r="M37" s="736" t="s">
        <v>412</v>
      </c>
      <c r="N37" s="734" t="s">
        <v>412</v>
      </c>
      <c r="O37" s="1886">
        <f>SUMIFS(Титульный!$Q$69:$Q$292,
Титульный!$K$69:$K$292,'КФО 5'!$Q37,
Титульный!$L$69:$L$292,'КФО 5'!$R37,
Титульный!$N$69:$N$292,'КФО 5'!$S37)</f>
        <v>0</v>
      </c>
      <c r="P37" s="1800">
        <f>SUMIFS(Титульный!$Q$69:$Q$292,
Титульный!$K$69:$K$292,'КФО 5'!$Q37,
Титульный!$L$69:$L$292,'КФО 5'!$R37,
Титульный!$N$69:$N$292,'КФО 5'!$S37)</f>
        <v>0</v>
      </c>
      <c r="Q37" s="266">
        <v>5</v>
      </c>
      <c r="R37" s="266">
        <v>244</v>
      </c>
      <c r="S37" s="266">
        <v>223</v>
      </c>
      <c r="T37" s="266"/>
      <c r="Z37" s="137">
        <f t="shared" ref="Z37:Z68" si="1">SUM(AA37:AR37)</f>
        <v>0</v>
      </c>
    </row>
    <row r="38" spans="1:29" s="144" customFormat="1" ht="12" customHeight="1">
      <c r="B38" s="256"/>
      <c r="Q38" s="272"/>
      <c r="R38" s="272"/>
      <c r="S38" s="272"/>
      <c r="T38" s="146"/>
      <c r="Z38" s="137">
        <f t="shared" si="1"/>
        <v>0</v>
      </c>
    </row>
    <row r="39" spans="1:29" s="144" customFormat="1" ht="12" hidden="1" customHeight="1">
      <c r="B39" s="256"/>
      <c r="Q39" s="272"/>
      <c r="R39" s="272"/>
      <c r="S39" s="272"/>
      <c r="T39" s="146"/>
      <c r="Z39" s="137">
        <f t="shared" si="1"/>
        <v>0</v>
      </c>
    </row>
    <row r="40" spans="1:29" s="144" customFormat="1" ht="12" hidden="1" customHeight="1">
      <c r="B40" s="256"/>
      <c r="Q40" s="272"/>
      <c r="R40" s="272"/>
      <c r="S40" s="272"/>
      <c r="T40" s="146"/>
      <c r="Z40" s="137">
        <f t="shared" si="1"/>
        <v>0</v>
      </c>
    </row>
    <row r="41" spans="1:29" s="215" customFormat="1" ht="27.75" customHeight="1">
      <c r="A41" s="1643" t="s">
        <v>574</v>
      </c>
      <c r="B41" s="1643"/>
      <c r="C41" s="1643"/>
      <c r="D41" s="1643"/>
      <c r="E41" s="1643"/>
      <c r="F41" s="1643"/>
      <c r="G41" s="1643"/>
      <c r="H41" s="1643"/>
      <c r="I41" s="1643"/>
      <c r="J41" s="1643"/>
      <c r="K41" s="1643"/>
      <c r="L41" s="1643"/>
      <c r="M41" s="1643"/>
      <c r="N41" s="1643"/>
      <c r="O41" s="1643"/>
      <c r="P41" s="1643"/>
      <c r="Q41" s="266"/>
      <c r="R41" s="266"/>
      <c r="S41" s="266"/>
      <c r="T41" s="214"/>
      <c r="Z41" s="137">
        <f t="shared" si="1"/>
        <v>0</v>
      </c>
    </row>
    <row r="42" spans="1:29" s="144" customFormat="1" ht="12" customHeight="1">
      <c r="B42" s="256"/>
      <c r="Q42" s="272"/>
      <c r="R42" s="272"/>
      <c r="S42" s="272"/>
      <c r="T42" s="146"/>
      <c r="Z42" s="137">
        <f t="shared" si="1"/>
        <v>0</v>
      </c>
    </row>
    <row r="43" spans="1:29" s="144" customFormat="1" ht="33" customHeight="1">
      <c r="A43" s="1687" t="s">
        <v>541</v>
      </c>
      <c r="B43" s="1651" t="s">
        <v>430</v>
      </c>
      <c r="C43" s="1892" t="s">
        <v>553</v>
      </c>
      <c r="D43" s="1685"/>
      <c r="E43" s="1858" t="s">
        <v>1114</v>
      </c>
      <c r="F43" s="1859"/>
      <c r="G43" s="1859"/>
      <c r="H43" s="1887"/>
      <c r="I43" s="1856" t="s">
        <v>1115</v>
      </c>
      <c r="J43" s="1854"/>
      <c r="K43" s="1854"/>
      <c r="L43" s="1855"/>
      <c r="M43" s="1853" t="s">
        <v>1116</v>
      </c>
      <c r="N43" s="1854"/>
      <c r="O43" s="1854"/>
      <c r="P43" s="1855"/>
      <c r="Q43" s="272"/>
      <c r="R43" s="272"/>
      <c r="S43" s="272"/>
      <c r="T43" s="146"/>
      <c r="Z43" s="137">
        <f t="shared" si="1"/>
        <v>0</v>
      </c>
      <c r="AA43" s="137">
        <f>SUM(G46:H48)-SUBTOTAL(109,G46:H48)</f>
        <v>0</v>
      </c>
      <c r="AB43" s="137">
        <f>SUM(K46:L48)-SUBTOTAL(109,K46:L48)</f>
        <v>0</v>
      </c>
      <c r="AC43" s="137">
        <f>SUM(O46:P48)-SUBTOTAL(109,O46:P48)</f>
        <v>0</v>
      </c>
    </row>
    <row r="44" spans="1:29" s="144" customFormat="1" ht="51">
      <c r="A44" s="1688"/>
      <c r="B44" s="1684"/>
      <c r="C44" s="1893"/>
      <c r="D44" s="1901"/>
      <c r="E44" s="181" t="s">
        <v>575</v>
      </c>
      <c r="F44" s="183" t="s">
        <v>576</v>
      </c>
      <c r="G44" s="1911" t="s">
        <v>496</v>
      </c>
      <c r="H44" s="1912"/>
      <c r="I44" s="181" t="s">
        <v>575</v>
      </c>
      <c r="J44" s="183" t="s">
        <v>576</v>
      </c>
      <c r="K44" s="1911" t="s">
        <v>496</v>
      </c>
      <c r="L44" s="1912"/>
      <c r="M44" s="184" t="s">
        <v>575</v>
      </c>
      <c r="N44" s="183" t="s">
        <v>576</v>
      </c>
      <c r="O44" s="1911" t="s">
        <v>496</v>
      </c>
      <c r="P44" s="1912"/>
      <c r="Q44" s="272"/>
      <c r="R44" s="272"/>
      <c r="S44" s="272"/>
      <c r="T44" s="146"/>
      <c r="Z44" s="137">
        <f t="shared" si="1"/>
        <v>0</v>
      </c>
    </row>
    <row r="45" spans="1:29" s="144" customFormat="1">
      <c r="A45" s="187" t="s">
        <v>6</v>
      </c>
      <c r="B45" s="358" t="s">
        <v>7</v>
      </c>
      <c r="C45" s="1895" t="s">
        <v>8</v>
      </c>
      <c r="D45" s="1896"/>
      <c r="E45" s="187">
        <v>4</v>
      </c>
      <c r="F45" s="178">
        <v>5</v>
      </c>
      <c r="G45" s="1653" t="s">
        <v>716</v>
      </c>
      <c r="H45" s="1654"/>
      <c r="I45" s="187">
        <v>7</v>
      </c>
      <c r="J45" s="178">
        <v>8</v>
      </c>
      <c r="K45" s="1653" t="s">
        <v>717</v>
      </c>
      <c r="L45" s="1654"/>
      <c r="M45" s="187" t="s">
        <v>413</v>
      </c>
      <c r="N45" s="178" t="s">
        <v>418</v>
      </c>
      <c r="O45" s="1653" t="s">
        <v>499</v>
      </c>
      <c r="P45" s="1654"/>
      <c r="Q45" s="272"/>
      <c r="R45" s="272"/>
      <c r="S45" s="272"/>
      <c r="T45" s="146"/>
      <c r="Z45" s="137">
        <f t="shared" si="1"/>
        <v>0</v>
      </c>
    </row>
    <row r="46" spans="1:29" s="122" customFormat="1" ht="27.75" customHeight="1">
      <c r="A46" s="236">
        <v>244</v>
      </c>
      <c r="B46" s="241"/>
      <c r="C46" s="1810" t="s">
        <v>239</v>
      </c>
      <c r="D46" s="1902"/>
      <c r="E46" s="350"/>
      <c r="F46" s="717">
        <f t="shared" ref="F46:F48" si="2">IFERROR(ROUND(G46/E46,2),0)</f>
        <v>0</v>
      </c>
      <c r="G46" s="1704"/>
      <c r="H46" s="1708"/>
      <c r="I46" s="350"/>
      <c r="J46" s="717">
        <f t="shared" ref="J46:J48" si="3">IFERROR(ROUND(K46/I46,2),0)</f>
        <v>0</v>
      </c>
      <c r="K46" s="1704"/>
      <c r="L46" s="1708"/>
      <c r="M46" s="720"/>
      <c r="N46" s="717">
        <f t="shared" ref="N46:N48" si="4">IFERROR(ROUND(O46/M46,2),0)</f>
        <v>0</v>
      </c>
      <c r="O46" s="1704"/>
      <c r="P46" s="1708"/>
      <c r="Q46" s="266"/>
      <c r="R46" s="266"/>
      <c r="S46" s="266"/>
      <c r="T46" s="149"/>
      <c r="Z46" s="137">
        <f t="shared" si="1"/>
        <v>0</v>
      </c>
    </row>
    <row r="47" spans="1:29" s="122" customFormat="1" ht="27.75" customHeight="1">
      <c r="A47" s="218">
        <v>244</v>
      </c>
      <c r="B47" s="216"/>
      <c r="C47" s="1823" t="s">
        <v>240</v>
      </c>
      <c r="D47" s="1880"/>
      <c r="E47" s="723"/>
      <c r="F47" s="716">
        <f t="shared" si="2"/>
        <v>0</v>
      </c>
      <c r="G47" s="1638"/>
      <c r="H47" s="1641"/>
      <c r="I47" s="723"/>
      <c r="J47" s="716">
        <f t="shared" si="3"/>
        <v>0</v>
      </c>
      <c r="K47" s="1638"/>
      <c r="L47" s="1641"/>
      <c r="M47" s="721"/>
      <c r="N47" s="716">
        <f t="shared" si="4"/>
        <v>0</v>
      </c>
      <c r="O47" s="1638"/>
      <c r="P47" s="1641"/>
      <c r="Q47" s="266"/>
      <c r="R47" s="266"/>
      <c r="S47" s="266"/>
      <c r="T47" s="149"/>
      <c r="Z47" s="137">
        <f t="shared" si="1"/>
        <v>0</v>
      </c>
    </row>
    <row r="48" spans="1:29" s="122" customFormat="1" ht="27.75" customHeight="1">
      <c r="A48" s="243">
        <v>244</v>
      </c>
      <c r="B48" s="252"/>
      <c r="C48" s="1903" t="s">
        <v>618</v>
      </c>
      <c r="D48" s="1796"/>
      <c r="E48" s="726"/>
      <c r="F48" s="727">
        <f t="shared" si="2"/>
        <v>0</v>
      </c>
      <c r="G48" s="1640">
        <f>G49-SUM(G46:H47)</f>
        <v>0</v>
      </c>
      <c r="H48" s="1642"/>
      <c r="I48" s="726"/>
      <c r="J48" s="727">
        <f t="shared" si="3"/>
        <v>0</v>
      </c>
      <c r="K48" s="1640">
        <f>K49-SUM(K46:L47)</f>
        <v>0</v>
      </c>
      <c r="L48" s="1642"/>
      <c r="M48" s="732"/>
      <c r="N48" s="727">
        <f t="shared" si="4"/>
        <v>0</v>
      </c>
      <c r="O48" s="1640">
        <f>O49-SUM(O46:P47)</f>
        <v>0</v>
      </c>
      <c r="P48" s="1642"/>
      <c r="Q48" s="266"/>
      <c r="R48" s="266"/>
      <c r="S48" s="266"/>
      <c r="T48" s="149"/>
      <c r="Z48" s="137">
        <f t="shared" si="1"/>
        <v>0</v>
      </c>
    </row>
    <row r="49" spans="1:30" s="267" customFormat="1" ht="27.75" customHeight="1">
      <c r="A49" s="263"/>
      <c r="B49" s="264"/>
      <c r="C49" s="1897" t="s">
        <v>554</v>
      </c>
      <c r="D49" s="1898"/>
      <c r="E49" s="729" t="s">
        <v>412</v>
      </c>
      <c r="F49" s="730" t="s">
        <v>412</v>
      </c>
      <c r="G49" s="1678">
        <f>SUMIFS(Титульный!$O$69:$O$292,Титульный!$K$69:$K$292,'КФО 5'!$Q49,Титульный!$L$69:$L$292,'КФО 5'!$R49,Титульный!$N$69:$N$292,'КФО 5'!$S49)</f>
        <v>0</v>
      </c>
      <c r="H49" s="1679">
        <f>SUMIFS(Титульный!$O$69:$O$292,Титульный!$K$69:$K$292,'КФО 5'!$Q49,Титульный!$L$69:$L$292,'КФО 5'!$R49,Титульный!$N$69:$N$292,'КФО 5'!$S49)</f>
        <v>0</v>
      </c>
      <c r="I49" s="729" t="s">
        <v>412</v>
      </c>
      <c r="J49" s="730" t="s">
        <v>412</v>
      </c>
      <c r="K49" s="1900">
        <f>SUMIFS(Титульный!$P$69:$P$292,
Титульный!$K$69:$K$292,'КФО 5'!$Q49,
Титульный!$L$69:$L$292,'КФО 5'!$R49,
Титульный!$N$69:$N$292,'КФО 5'!$S49)</f>
        <v>0</v>
      </c>
      <c r="L49" s="1679">
        <f>SUMIFS(Титульный!$P$69:$P$292,
Титульный!$K$69:$K$292,'КФО 5'!$Q49,
Титульный!$L$69:$L$292,'КФО 5'!$R49,
Титульный!$N$69:$N$292,'КФО 5'!$S49)</f>
        <v>0</v>
      </c>
      <c r="M49" s="733" t="s">
        <v>412</v>
      </c>
      <c r="N49" s="730" t="s">
        <v>412</v>
      </c>
      <c r="O49" s="1900">
        <f>SUMIFS(Титульный!$Q$69:$Q$292,
Титульный!$K$69:$K$292,'КФО 5'!$Q49,
Титульный!$L$69:$L$292,'КФО 5'!$R49,
Титульный!$N$69:$N$292,'КФО 5'!$S49)</f>
        <v>0</v>
      </c>
      <c r="P49" s="1679">
        <f>SUMIFS(Титульный!$Q$69:$Q$292,
Титульный!$K$69:$K$292,'КФО 5'!$Q49,
Титульный!$L$69:$L$292,'КФО 5'!$R49,
Титульный!$N$69:$N$292,'КФО 5'!$S49)</f>
        <v>0</v>
      </c>
      <c r="Q49" s="266">
        <v>5</v>
      </c>
      <c r="R49" s="266">
        <v>244</v>
      </c>
      <c r="S49" s="266">
        <v>224</v>
      </c>
      <c r="T49" s="266"/>
      <c r="Z49" s="137">
        <f t="shared" si="1"/>
        <v>0</v>
      </c>
    </row>
    <row r="50" spans="1:30" s="144" customFormat="1" ht="12" customHeight="1">
      <c r="B50" s="256"/>
      <c r="Q50" s="272"/>
      <c r="R50" s="272"/>
      <c r="S50" s="272"/>
      <c r="T50" s="146"/>
      <c r="Z50" s="137">
        <f t="shared" si="1"/>
        <v>0</v>
      </c>
    </row>
    <row r="51" spans="1:30" s="144" customFormat="1" ht="12" hidden="1" customHeight="1">
      <c r="B51" s="256"/>
      <c r="Q51" s="272"/>
      <c r="R51" s="272"/>
      <c r="S51" s="272"/>
      <c r="T51" s="146"/>
      <c r="Z51" s="137">
        <f t="shared" si="1"/>
        <v>0</v>
      </c>
    </row>
    <row r="52" spans="1:30" s="144" customFormat="1" ht="12" hidden="1" customHeight="1">
      <c r="B52" s="256"/>
      <c r="Q52" s="272"/>
      <c r="R52" s="272"/>
      <c r="S52" s="272"/>
      <c r="T52" s="146"/>
      <c r="Z52" s="137">
        <f t="shared" si="1"/>
        <v>0</v>
      </c>
    </row>
    <row r="53" spans="1:30" s="215" customFormat="1" ht="27.75" customHeight="1">
      <c r="A53" s="1643" t="s">
        <v>577</v>
      </c>
      <c r="B53" s="1643"/>
      <c r="C53" s="1643"/>
      <c r="D53" s="1643"/>
      <c r="E53" s="1643"/>
      <c r="F53" s="1643"/>
      <c r="G53" s="1643"/>
      <c r="H53" s="1643"/>
      <c r="I53" s="1643"/>
      <c r="J53" s="1643"/>
      <c r="K53" s="1643"/>
      <c r="L53" s="1643"/>
      <c r="M53" s="1643"/>
      <c r="N53" s="1643"/>
      <c r="O53" s="1643"/>
      <c r="P53" s="1643"/>
      <c r="Q53" s="266"/>
      <c r="R53" s="266"/>
      <c r="S53" s="266"/>
      <c r="T53" s="214"/>
      <c r="Z53" s="137">
        <f t="shared" si="1"/>
        <v>0</v>
      </c>
    </row>
    <row r="54" spans="1:30" s="144" customFormat="1" ht="12" customHeight="1">
      <c r="B54" s="256"/>
      <c r="Q54" s="272"/>
      <c r="R54" s="272"/>
      <c r="S54" s="272"/>
      <c r="T54" s="146"/>
      <c r="Z54" s="137">
        <f t="shared" si="1"/>
        <v>0</v>
      </c>
    </row>
    <row r="55" spans="1:30" s="144" customFormat="1" ht="33" customHeight="1">
      <c r="A55" s="1687" t="s">
        <v>541</v>
      </c>
      <c r="B55" s="1651" t="s">
        <v>430</v>
      </c>
      <c r="C55" s="1892" t="s">
        <v>553</v>
      </c>
      <c r="D55" s="1696"/>
      <c r="E55" s="1858" t="s">
        <v>1114</v>
      </c>
      <c r="F55" s="1859"/>
      <c r="G55" s="1859"/>
      <c r="H55" s="1887"/>
      <c r="I55" s="1856" t="s">
        <v>1115</v>
      </c>
      <c r="J55" s="1854"/>
      <c r="K55" s="1854"/>
      <c r="L55" s="1855"/>
      <c r="M55" s="1853" t="s">
        <v>1116</v>
      </c>
      <c r="N55" s="1854"/>
      <c r="O55" s="1854"/>
      <c r="P55" s="1855"/>
      <c r="Q55" s="272"/>
      <c r="R55" s="272"/>
      <c r="S55" s="272"/>
      <c r="T55" s="146"/>
      <c r="Z55" s="137">
        <f t="shared" si="1"/>
        <v>0</v>
      </c>
      <c r="AA55" s="137">
        <f>SUM(G58:G97)-SUBTOTAL(109,G58:G97)</f>
        <v>0</v>
      </c>
      <c r="AB55" s="137">
        <f>SUM(K58:L97)-SUBTOTAL(109,K58:L97)</f>
        <v>0</v>
      </c>
      <c r="AC55" s="137">
        <f>SUM(O58:P97)-SUBTOTAL(109,O58:P97)</f>
        <v>0</v>
      </c>
      <c r="AD55" s="195"/>
    </row>
    <row r="56" spans="1:30" s="144" customFormat="1" ht="38.25">
      <c r="A56" s="1688"/>
      <c r="B56" s="1684"/>
      <c r="C56" s="1893"/>
      <c r="D56" s="1894"/>
      <c r="E56" s="169" t="s">
        <v>578</v>
      </c>
      <c r="F56" s="171" t="s">
        <v>579</v>
      </c>
      <c r="G56" s="1838" t="s">
        <v>496</v>
      </c>
      <c r="H56" s="1839"/>
      <c r="I56" s="169" t="s">
        <v>578</v>
      </c>
      <c r="J56" s="171" t="s">
        <v>579</v>
      </c>
      <c r="K56" s="1838" t="s">
        <v>496</v>
      </c>
      <c r="L56" s="1839"/>
      <c r="M56" s="169" t="s">
        <v>578</v>
      </c>
      <c r="N56" s="171" t="s">
        <v>579</v>
      </c>
      <c r="O56" s="1838" t="s">
        <v>496</v>
      </c>
      <c r="P56" s="1839"/>
      <c r="Q56" s="272"/>
      <c r="R56" s="272"/>
      <c r="S56" s="272"/>
      <c r="T56" s="146"/>
      <c r="V56" s="120"/>
      <c r="Z56" s="137">
        <f t="shared" si="1"/>
        <v>0</v>
      </c>
    </row>
    <row r="57" spans="1:30" s="144" customFormat="1">
      <c r="A57" s="153" t="s">
        <v>6</v>
      </c>
      <c r="B57" s="366" t="s">
        <v>7</v>
      </c>
      <c r="C57" s="1895" t="s">
        <v>8</v>
      </c>
      <c r="D57" s="1896"/>
      <c r="E57" s="187">
        <v>4</v>
      </c>
      <c r="F57" s="178">
        <v>5</v>
      </c>
      <c r="G57" s="1653" t="s">
        <v>716</v>
      </c>
      <c r="H57" s="1654"/>
      <c r="I57" s="187">
        <v>7</v>
      </c>
      <c r="J57" s="178">
        <v>8</v>
      </c>
      <c r="K57" s="1653" t="s">
        <v>717</v>
      </c>
      <c r="L57" s="1654"/>
      <c r="M57" s="187" t="s">
        <v>413</v>
      </c>
      <c r="N57" s="178" t="s">
        <v>418</v>
      </c>
      <c r="O57" s="1653" t="s">
        <v>499</v>
      </c>
      <c r="P57" s="1654"/>
      <c r="Q57" s="272"/>
      <c r="R57" s="272"/>
      <c r="S57" s="272"/>
      <c r="T57" s="146"/>
      <c r="Z57" s="137">
        <f t="shared" si="1"/>
        <v>0</v>
      </c>
    </row>
    <row r="58" spans="1:30" s="122" customFormat="1" ht="27.75" customHeight="1">
      <c r="A58" s="225">
        <v>244</v>
      </c>
      <c r="B58" s="226"/>
      <c r="C58" s="1821" t="s">
        <v>859</v>
      </c>
      <c r="D58" s="1934"/>
      <c r="E58" s="723"/>
      <c r="F58" s="716">
        <f t="shared" ref="F58:F97" si="5">IFERROR(ROUND(G58/E58,2),0)</f>
        <v>0</v>
      </c>
      <c r="G58" s="1638"/>
      <c r="H58" s="1641"/>
      <c r="I58" s="723"/>
      <c r="J58" s="716">
        <f t="shared" ref="J58:J97" si="6">IFERROR(ROUND(K58/I58,2),0)</f>
        <v>0</v>
      </c>
      <c r="K58" s="1638"/>
      <c r="L58" s="1641"/>
      <c r="M58" s="723"/>
      <c r="N58" s="716">
        <f t="shared" ref="N58:N97" si="7">IFERROR(ROUND(O58/M58,2),0)</f>
        <v>0</v>
      </c>
      <c r="O58" s="1638"/>
      <c r="P58" s="1641"/>
      <c r="Q58" s="904"/>
      <c r="R58" s="266"/>
      <c r="S58" s="266"/>
      <c r="T58" s="149"/>
      <c r="Z58" s="137">
        <f t="shared" si="1"/>
        <v>0</v>
      </c>
    </row>
    <row r="59" spans="1:30" s="122" customFormat="1" ht="27.75" customHeight="1">
      <c r="A59" s="218">
        <v>244</v>
      </c>
      <c r="B59" s="217"/>
      <c r="C59" s="1823" t="s">
        <v>861</v>
      </c>
      <c r="D59" s="1891"/>
      <c r="E59" s="723"/>
      <c r="F59" s="716">
        <f t="shared" si="5"/>
        <v>0</v>
      </c>
      <c r="G59" s="1882"/>
      <c r="H59" s="1883"/>
      <c r="I59" s="723"/>
      <c r="J59" s="716">
        <f t="shared" si="6"/>
        <v>0</v>
      </c>
      <c r="K59" s="1882"/>
      <c r="L59" s="1883"/>
      <c r="M59" s="723"/>
      <c r="N59" s="716">
        <f t="shared" si="7"/>
        <v>0</v>
      </c>
      <c r="O59" s="1882"/>
      <c r="P59" s="1883"/>
      <c r="Q59" s="266"/>
      <c r="R59" s="266"/>
      <c r="S59" s="266"/>
      <c r="T59" s="149"/>
      <c r="Z59" s="137">
        <f t="shared" si="1"/>
        <v>0</v>
      </c>
    </row>
    <row r="60" spans="1:30" s="122" customFormat="1" ht="27.75" customHeight="1">
      <c r="A60" s="218">
        <v>244</v>
      </c>
      <c r="B60" s="217"/>
      <c r="C60" s="1823" t="s">
        <v>623</v>
      </c>
      <c r="D60" s="1891"/>
      <c r="E60" s="723"/>
      <c r="F60" s="716">
        <f t="shared" si="5"/>
        <v>0</v>
      </c>
      <c r="G60" s="1882"/>
      <c r="H60" s="1883"/>
      <c r="I60" s="723"/>
      <c r="J60" s="716">
        <f t="shared" si="6"/>
        <v>0</v>
      </c>
      <c r="K60" s="1882"/>
      <c r="L60" s="1883"/>
      <c r="M60" s="723"/>
      <c r="N60" s="716">
        <f t="shared" si="7"/>
        <v>0</v>
      </c>
      <c r="O60" s="1882"/>
      <c r="P60" s="1883"/>
      <c r="Q60" s="266"/>
      <c r="R60" s="266"/>
      <c r="S60" s="266"/>
      <c r="T60" s="149"/>
      <c r="Z60" s="137">
        <f t="shared" si="1"/>
        <v>0</v>
      </c>
    </row>
    <row r="61" spans="1:30" s="122" customFormat="1" ht="27.75" customHeight="1">
      <c r="A61" s="218">
        <v>244</v>
      </c>
      <c r="B61" s="217"/>
      <c r="C61" s="1823" t="s">
        <v>624</v>
      </c>
      <c r="D61" s="1891"/>
      <c r="E61" s="723"/>
      <c r="F61" s="716">
        <f t="shared" si="5"/>
        <v>0</v>
      </c>
      <c r="G61" s="1882"/>
      <c r="H61" s="1883"/>
      <c r="I61" s="723"/>
      <c r="J61" s="716">
        <f t="shared" si="6"/>
        <v>0</v>
      </c>
      <c r="K61" s="1882"/>
      <c r="L61" s="1883"/>
      <c r="M61" s="723"/>
      <c r="N61" s="716">
        <f t="shared" si="7"/>
        <v>0</v>
      </c>
      <c r="O61" s="1882"/>
      <c r="P61" s="1883"/>
      <c r="Q61" s="266"/>
      <c r="R61" s="266"/>
      <c r="S61" s="266"/>
      <c r="T61" s="149"/>
      <c r="Z61" s="137">
        <f t="shared" si="1"/>
        <v>0</v>
      </c>
    </row>
    <row r="62" spans="1:30" s="122" customFormat="1" ht="27.75" customHeight="1">
      <c r="A62" s="218">
        <v>244</v>
      </c>
      <c r="B62" s="217"/>
      <c r="C62" s="1823" t="s">
        <v>625</v>
      </c>
      <c r="D62" s="1891"/>
      <c r="E62" s="723"/>
      <c r="F62" s="716">
        <f t="shared" si="5"/>
        <v>0</v>
      </c>
      <c r="G62" s="1882"/>
      <c r="H62" s="1883"/>
      <c r="I62" s="723"/>
      <c r="J62" s="716">
        <f t="shared" si="6"/>
        <v>0</v>
      </c>
      <c r="K62" s="1882"/>
      <c r="L62" s="1883"/>
      <c r="M62" s="723"/>
      <c r="N62" s="716">
        <f t="shared" si="7"/>
        <v>0</v>
      </c>
      <c r="O62" s="1882"/>
      <c r="P62" s="1883"/>
      <c r="Q62" s="266"/>
      <c r="R62" s="266"/>
      <c r="S62" s="266"/>
      <c r="T62" s="149"/>
      <c r="Z62" s="137">
        <f t="shared" si="1"/>
        <v>0</v>
      </c>
    </row>
    <row r="63" spans="1:30" s="122" customFormat="1" ht="27.75" customHeight="1">
      <c r="A63" s="218">
        <v>244</v>
      </c>
      <c r="B63" s="217"/>
      <c r="C63" s="1823" t="s">
        <v>626</v>
      </c>
      <c r="D63" s="1891"/>
      <c r="E63" s="723"/>
      <c r="F63" s="716">
        <f t="shared" si="5"/>
        <v>0</v>
      </c>
      <c r="G63" s="1882"/>
      <c r="H63" s="1883"/>
      <c r="I63" s="723"/>
      <c r="J63" s="716">
        <f t="shared" si="6"/>
        <v>0</v>
      </c>
      <c r="K63" s="1882"/>
      <c r="L63" s="1883"/>
      <c r="M63" s="723"/>
      <c r="N63" s="716">
        <f t="shared" si="7"/>
        <v>0</v>
      </c>
      <c r="O63" s="1882"/>
      <c r="P63" s="1883"/>
      <c r="Q63" s="266"/>
      <c r="R63" s="266"/>
      <c r="S63" s="266"/>
      <c r="T63" s="149"/>
      <c r="Z63" s="137">
        <f t="shared" si="1"/>
        <v>0</v>
      </c>
    </row>
    <row r="64" spans="1:30" s="122" customFormat="1" ht="27.75" customHeight="1">
      <c r="A64" s="218">
        <v>244</v>
      </c>
      <c r="B64" s="217"/>
      <c r="C64" s="1823" t="s">
        <v>627</v>
      </c>
      <c r="D64" s="1891"/>
      <c r="E64" s="723"/>
      <c r="F64" s="716">
        <f t="shared" si="5"/>
        <v>0</v>
      </c>
      <c r="G64" s="1882"/>
      <c r="H64" s="1883"/>
      <c r="I64" s="723"/>
      <c r="J64" s="716">
        <f t="shared" si="6"/>
        <v>0</v>
      </c>
      <c r="K64" s="1882"/>
      <c r="L64" s="1883"/>
      <c r="M64" s="723"/>
      <c r="N64" s="716">
        <f t="shared" si="7"/>
        <v>0</v>
      </c>
      <c r="O64" s="1882"/>
      <c r="P64" s="1883"/>
      <c r="Q64" s="266"/>
      <c r="R64" s="266"/>
      <c r="S64" s="266"/>
      <c r="T64" s="149"/>
      <c r="Z64" s="137">
        <f t="shared" si="1"/>
        <v>0</v>
      </c>
    </row>
    <row r="65" spans="1:26" s="122" customFormat="1" ht="27.75" customHeight="1">
      <c r="A65" s="218">
        <v>244</v>
      </c>
      <c r="B65" s="217"/>
      <c r="C65" s="1823" t="s">
        <v>628</v>
      </c>
      <c r="D65" s="1891"/>
      <c r="E65" s="723"/>
      <c r="F65" s="716">
        <f t="shared" si="5"/>
        <v>0</v>
      </c>
      <c r="G65" s="1882"/>
      <c r="H65" s="1883"/>
      <c r="I65" s="723"/>
      <c r="J65" s="716">
        <f t="shared" si="6"/>
        <v>0</v>
      </c>
      <c r="K65" s="1882"/>
      <c r="L65" s="1883"/>
      <c r="M65" s="723"/>
      <c r="N65" s="716">
        <f t="shared" si="7"/>
        <v>0</v>
      </c>
      <c r="O65" s="1882"/>
      <c r="P65" s="1883"/>
      <c r="Q65" s="266"/>
      <c r="R65" s="266"/>
      <c r="S65" s="266"/>
      <c r="T65" s="149"/>
      <c r="Z65" s="137">
        <f t="shared" si="1"/>
        <v>0</v>
      </c>
    </row>
    <row r="66" spans="1:26" s="122" customFormat="1" ht="27.75" customHeight="1">
      <c r="A66" s="218">
        <v>244</v>
      </c>
      <c r="B66" s="217"/>
      <c r="C66" s="1823" t="s">
        <v>629</v>
      </c>
      <c r="D66" s="1891"/>
      <c r="E66" s="723"/>
      <c r="F66" s="716">
        <f t="shared" si="5"/>
        <v>0</v>
      </c>
      <c r="G66" s="1882"/>
      <c r="H66" s="1883"/>
      <c r="I66" s="723"/>
      <c r="J66" s="716">
        <f t="shared" si="6"/>
        <v>0</v>
      </c>
      <c r="K66" s="1882"/>
      <c r="L66" s="1883"/>
      <c r="M66" s="723"/>
      <c r="N66" s="716">
        <f t="shared" si="7"/>
        <v>0</v>
      </c>
      <c r="O66" s="1882"/>
      <c r="P66" s="1883"/>
      <c r="Q66" s="266"/>
      <c r="R66" s="266"/>
      <c r="S66" s="266"/>
      <c r="T66" s="149"/>
      <c r="Z66" s="137">
        <f t="shared" si="1"/>
        <v>0</v>
      </c>
    </row>
    <row r="67" spans="1:26" s="122" customFormat="1" ht="27.75" customHeight="1">
      <c r="A67" s="218">
        <v>244</v>
      </c>
      <c r="B67" s="217"/>
      <c r="C67" s="1823" t="s">
        <v>861</v>
      </c>
      <c r="D67" s="1891"/>
      <c r="E67" s="723"/>
      <c r="F67" s="716">
        <f t="shared" si="5"/>
        <v>0</v>
      </c>
      <c r="G67" s="1882"/>
      <c r="H67" s="1883"/>
      <c r="I67" s="723"/>
      <c r="J67" s="716">
        <f t="shared" si="6"/>
        <v>0</v>
      </c>
      <c r="K67" s="1882"/>
      <c r="L67" s="1883"/>
      <c r="M67" s="723"/>
      <c r="N67" s="716">
        <f t="shared" si="7"/>
        <v>0</v>
      </c>
      <c r="O67" s="1882"/>
      <c r="P67" s="1883"/>
      <c r="Q67" s="266"/>
      <c r="R67" s="266"/>
      <c r="S67" s="266"/>
      <c r="T67" s="149"/>
      <c r="Z67" s="137">
        <f t="shared" si="1"/>
        <v>0</v>
      </c>
    </row>
    <row r="68" spans="1:26" s="122" customFormat="1" ht="27.75" customHeight="1">
      <c r="A68" s="218">
        <v>244</v>
      </c>
      <c r="B68" s="217"/>
      <c r="C68" s="1823" t="s">
        <v>631</v>
      </c>
      <c r="D68" s="1891"/>
      <c r="E68" s="723"/>
      <c r="F68" s="716">
        <f t="shared" si="5"/>
        <v>0</v>
      </c>
      <c r="G68" s="1882"/>
      <c r="H68" s="1883"/>
      <c r="I68" s="723"/>
      <c r="J68" s="716">
        <f t="shared" si="6"/>
        <v>0</v>
      </c>
      <c r="K68" s="1882"/>
      <c r="L68" s="1883"/>
      <c r="M68" s="723"/>
      <c r="N68" s="716">
        <f t="shared" si="7"/>
        <v>0</v>
      </c>
      <c r="O68" s="1882"/>
      <c r="P68" s="1883"/>
      <c r="Q68" s="266"/>
      <c r="R68" s="266"/>
      <c r="S68" s="266"/>
      <c r="T68" s="149"/>
      <c r="Z68" s="137">
        <f t="shared" si="1"/>
        <v>0</v>
      </c>
    </row>
    <row r="69" spans="1:26" s="122" customFormat="1" ht="27.75" customHeight="1">
      <c r="A69" s="218">
        <v>244</v>
      </c>
      <c r="B69" s="217"/>
      <c r="C69" s="1823" t="s">
        <v>632</v>
      </c>
      <c r="D69" s="1891"/>
      <c r="E69" s="723"/>
      <c r="F69" s="716">
        <f t="shared" si="5"/>
        <v>0</v>
      </c>
      <c r="G69" s="1882"/>
      <c r="H69" s="1883"/>
      <c r="I69" s="723"/>
      <c r="J69" s="716">
        <f t="shared" si="6"/>
        <v>0</v>
      </c>
      <c r="K69" s="1882"/>
      <c r="L69" s="1883"/>
      <c r="M69" s="723"/>
      <c r="N69" s="716">
        <f t="shared" si="7"/>
        <v>0</v>
      </c>
      <c r="O69" s="1882"/>
      <c r="P69" s="1883"/>
      <c r="Q69" s="266"/>
      <c r="R69" s="266"/>
      <c r="S69" s="266"/>
      <c r="T69" s="149"/>
      <c r="Z69" s="137">
        <f t="shared" ref="Z69:Z100" si="8">SUM(AA69:AR69)</f>
        <v>0</v>
      </c>
    </row>
    <row r="70" spans="1:26" s="122" customFormat="1" ht="27.75" customHeight="1">
      <c r="A70" s="218">
        <v>244</v>
      </c>
      <c r="B70" s="217"/>
      <c r="C70" s="1823" t="s">
        <v>633</v>
      </c>
      <c r="D70" s="1891"/>
      <c r="E70" s="723"/>
      <c r="F70" s="716">
        <f t="shared" si="5"/>
        <v>0</v>
      </c>
      <c r="G70" s="1882"/>
      <c r="H70" s="1883"/>
      <c r="I70" s="723"/>
      <c r="J70" s="716">
        <f t="shared" si="6"/>
        <v>0</v>
      </c>
      <c r="K70" s="1882"/>
      <c r="L70" s="1883"/>
      <c r="M70" s="723"/>
      <c r="N70" s="716">
        <f t="shared" si="7"/>
        <v>0</v>
      </c>
      <c r="O70" s="1882"/>
      <c r="P70" s="1883"/>
      <c r="Q70" s="266"/>
      <c r="R70" s="266"/>
      <c r="S70" s="266"/>
      <c r="T70" s="149"/>
      <c r="Z70" s="137">
        <f t="shared" si="8"/>
        <v>0</v>
      </c>
    </row>
    <row r="71" spans="1:26" s="122" customFormat="1" ht="27.75" customHeight="1">
      <c r="A71" s="218">
        <v>244</v>
      </c>
      <c r="B71" s="217"/>
      <c r="C71" s="1823" t="s">
        <v>634</v>
      </c>
      <c r="D71" s="1891"/>
      <c r="E71" s="723"/>
      <c r="F71" s="716">
        <f t="shared" si="5"/>
        <v>0</v>
      </c>
      <c r="G71" s="1882"/>
      <c r="H71" s="1883"/>
      <c r="I71" s="723"/>
      <c r="J71" s="716">
        <f t="shared" si="6"/>
        <v>0</v>
      </c>
      <c r="K71" s="1882"/>
      <c r="L71" s="1883"/>
      <c r="M71" s="723"/>
      <c r="N71" s="716">
        <f t="shared" si="7"/>
        <v>0</v>
      </c>
      <c r="O71" s="1882"/>
      <c r="P71" s="1883"/>
      <c r="Q71" s="266"/>
      <c r="R71" s="266"/>
      <c r="S71" s="266"/>
      <c r="T71" s="149"/>
      <c r="Z71" s="137">
        <f t="shared" si="8"/>
        <v>0</v>
      </c>
    </row>
    <row r="72" spans="1:26" s="122" customFormat="1" ht="27.75" customHeight="1">
      <c r="A72" s="218">
        <v>244</v>
      </c>
      <c r="B72" s="217"/>
      <c r="C72" s="1823" t="s">
        <v>635</v>
      </c>
      <c r="D72" s="1891"/>
      <c r="E72" s="723"/>
      <c r="F72" s="716">
        <f t="shared" si="5"/>
        <v>0</v>
      </c>
      <c r="G72" s="1882"/>
      <c r="H72" s="1883"/>
      <c r="I72" s="723"/>
      <c r="J72" s="716">
        <f t="shared" si="6"/>
        <v>0</v>
      </c>
      <c r="K72" s="1882"/>
      <c r="L72" s="1883"/>
      <c r="M72" s="723"/>
      <c r="N72" s="716">
        <f t="shared" si="7"/>
        <v>0</v>
      </c>
      <c r="O72" s="1882"/>
      <c r="P72" s="1883"/>
      <c r="Q72" s="266"/>
      <c r="R72" s="266"/>
      <c r="S72" s="266"/>
      <c r="T72" s="149"/>
      <c r="Z72" s="137">
        <f t="shared" si="8"/>
        <v>0</v>
      </c>
    </row>
    <row r="73" spans="1:26" s="122" customFormat="1" ht="27.75" customHeight="1">
      <c r="A73" s="218">
        <v>244</v>
      </c>
      <c r="B73" s="217"/>
      <c r="C73" s="1823" t="s">
        <v>636</v>
      </c>
      <c r="D73" s="1891"/>
      <c r="E73" s="723"/>
      <c r="F73" s="716">
        <f t="shared" si="5"/>
        <v>0</v>
      </c>
      <c r="G73" s="1882"/>
      <c r="H73" s="1883"/>
      <c r="I73" s="723"/>
      <c r="J73" s="716">
        <f t="shared" si="6"/>
        <v>0</v>
      </c>
      <c r="K73" s="1882"/>
      <c r="L73" s="1883"/>
      <c r="M73" s="723"/>
      <c r="N73" s="716">
        <f t="shared" si="7"/>
        <v>0</v>
      </c>
      <c r="O73" s="1882"/>
      <c r="P73" s="1883"/>
      <c r="Q73" s="266"/>
      <c r="R73" s="266"/>
      <c r="S73" s="266"/>
      <c r="T73" s="149"/>
      <c r="Z73" s="137">
        <f t="shared" si="8"/>
        <v>0</v>
      </c>
    </row>
    <row r="74" spans="1:26" s="122" customFormat="1" ht="27.75" customHeight="1">
      <c r="A74" s="218">
        <v>244</v>
      </c>
      <c r="B74" s="217"/>
      <c r="C74" s="1823" t="s">
        <v>637</v>
      </c>
      <c r="D74" s="1891"/>
      <c r="E74" s="723"/>
      <c r="F74" s="716">
        <f t="shared" si="5"/>
        <v>0</v>
      </c>
      <c r="G74" s="1882"/>
      <c r="H74" s="1883"/>
      <c r="I74" s="723"/>
      <c r="J74" s="716">
        <f t="shared" si="6"/>
        <v>0</v>
      </c>
      <c r="K74" s="1882"/>
      <c r="L74" s="1883"/>
      <c r="M74" s="723"/>
      <c r="N74" s="716">
        <f t="shared" si="7"/>
        <v>0</v>
      </c>
      <c r="O74" s="1882"/>
      <c r="P74" s="1883"/>
      <c r="Q74" s="266"/>
      <c r="R74" s="266"/>
      <c r="S74" s="266"/>
      <c r="T74" s="149"/>
      <c r="Z74" s="137">
        <f t="shared" si="8"/>
        <v>0</v>
      </c>
    </row>
    <row r="75" spans="1:26" s="122" customFormat="1" ht="27.75" customHeight="1">
      <c r="A75" s="218">
        <v>244</v>
      </c>
      <c r="B75" s="217"/>
      <c r="C75" s="1823" t="s">
        <v>638</v>
      </c>
      <c r="D75" s="1891"/>
      <c r="E75" s="723"/>
      <c r="F75" s="716">
        <f t="shared" si="5"/>
        <v>0</v>
      </c>
      <c r="G75" s="1882"/>
      <c r="H75" s="1883"/>
      <c r="I75" s="723"/>
      <c r="J75" s="716">
        <f t="shared" si="6"/>
        <v>0</v>
      </c>
      <c r="K75" s="1882"/>
      <c r="L75" s="1883"/>
      <c r="M75" s="723"/>
      <c r="N75" s="716">
        <f t="shared" si="7"/>
        <v>0</v>
      </c>
      <c r="O75" s="1882"/>
      <c r="P75" s="1883"/>
      <c r="Q75" s="266"/>
      <c r="R75" s="266"/>
      <c r="S75" s="266"/>
      <c r="T75" s="149"/>
      <c r="Z75" s="137">
        <f t="shared" si="8"/>
        <v>0</v>
      </c>
    </row>
    <row r="76" spans="1:26" s="122" customFormat="1" ht="27.75" customHeight="1">
      <c r="A76" s="218">
        <v>244</v>
      </c>
      <c r="B76" s="217"/>
      <c r="C76" s="1823" t="s">
        <v>639</v>
      </c>
      <c r="D76" s="1891"/>
      <c r="E76" s="723"/>
      <c r="F76" s="716">
        <f t="shared" si="5"/>
        <v>0</v>
      </c>
      <c r="G76" s="1882"/>
      <c r="H76" s="1883"/>
      <c r="I76" s="723"/>
      <c r="J76" s="716">
        <f t="shared" si="6"/>
        <v>0</v>
      </c>
      <c r="K76" s="1882"/>
      <c r="L76" s="1883"/>
      <c r="M76" s="723"/>
      <c r="N76" s="716">
        <f t="shared" si="7"/>
        <v>0</v>
      </c>
      <c r="O76" s="1882"/>
      <c r="P76" s="1883"/>
      <c r="Q76" s="266"/>
      <c r="R76" s="266"/>
      <c r="S76" s="266"/>
      <c r="T76" s="149"/>
      <c r="Z76" s="137">
        <f t="shared" si="8"/>
        <v>0</v>
      </c>
    </row>
    <row r="77" spans="1:26" s="122" customFormat="1" ht="27.75" customHeight="1">
      <c r="A77" s="218">
        <v>244</v>
      </c>
      <c r="B77" s="217"/>
      <c r="C77" s="1823" t="s">
        <v>640</v>
      </c>
      <c r="D77" s="1891"/>
      <c r="E77" s="723"/>
      <c r="F77" s="716">
        <f t="shared" si="5"/>
        <v>0</v>
      </c>
      <c r="G77" s="1882"/>
      <c r="H77" s="1883"/>
      <c r="I77" s="723"/>
      <c r="J77" s="716">
        <f t="shared" si="6"/>
        <v>0</v>
      </c>
      <c r="K77" s="1882"/>
      <c r="L77" s="1883"/>
      <c r="M77" s="723"/>
      <c r="N77" s="716">
        <f t="shared" si="7"/>
        <v>0</v>
      </c>
      <c r="O77" s="1882"/>
      <c r="P77" s="1883"/>
      <c r="Q77" s="266"/>
      <c r="R77" s="266"/>
      <c r="S77" s="266"/>
      <c r="T77" s="149"/>
      <c r="Z77" s="137">
        <f t="shared" si="8"/>
        <v>0</v>
      </c>
    </row>
    <row r="78" spans="1:26" s="122" customFormat="1" ht="27.75" customHeight="1">
      <c r="A78" s="218">
        <v>244</v>
      </c>
      <c r="B78" s="217"/>
      <c r="C78" s="1823" t="s">
        <v>641</v>
      </c>
      <c r="D78" s="1891"/>
      <c r="E78" s="723"/>
      <c r="F78" s="716">
        <f t="shared" si="5"/>
        <v>0</v>
      </c>
      <c r="G78" s="1882"/>
      <c r="H78" s="1883"/>
      <c r="I78" s="723"/>
      <c r="J78" s="716">
        <f t="shared" si="6"/>
        <v>0</v>
      </c>
      <c r="K78" s="1882"/>
      <c r="L78" s="1883"/>
      <c r="M78" s="723"/>
      <c r="N78" s="716">
        <f t="shared" si="7"/>
        <v>0</v>
      </c>
      <c r="O78" s="1882"/>
      <c r="P78" s="1883"/>
      <c r="Q78" s="266"/>
      <c r="R78" s="266"/>
      <c r="S78" s="266"/>
      <c r="T78" s="149"/>
      <c r="Z78" s="137">
        <f t="shared" si="8"/>
        <v>0</v>
      </c>
    </row>
    <row r="79" spans="1:26" s="122" customFormat="1" ht="27.75" customHeight="1">
      <c r="A79" s="218">
        <v>244</v>
      </c>
      <c r="B79" s="217"/>
      <c r="C79" s="1823" t="s">
        <v>642</v>
      </c>
      <c r="D79" s="1891"/>
      <c r="E79" s="723"/>
      <c r="F79" s="716">
        <f t="shared" si="5"/>
        <v>0</v>
      </c>
      <c r="G79" s="1882"/>
      <c r="H79" s="1883"/>
      <c r="I79" s="723"/>
      <c r="J79" s="716">
        <f t="shared" si="6"/>
        <v>0</v>
      </c>
      <c r="K79" s="1882"/>
      <c r="L79" s="1883"/>
      <c r="M79" s="723"/>
      <c r="N79" s="716">
        <f t="shared" si="7"/>
        <v>0</v>
      </c>
      <c r="O79" s="1882"/>
      <c r="P79" s="1883"/>
      <c r="Q79" s="266"/>
      <c r="R79" s="266"/>
      <c r="S79" s="266"/>
      <c r="T79" s="149"/>
      <c r="Z79" s="137">
        <f t="shared" si="8"/>
        <v>0</v>
      </c>
    </row>
    <row r="80" spans="1:26" s="122" customFormat="1" ht="27.75" customHeight="1">
      <c r="A80" s="218">
        <v>244</v>
      </c>
      <c r="B80" s="217"/>
      <c r="C80" s="1823" t="s">
        <v>643</v>
      </c>
      <c r="D80" s="1891"/>
      <c r="E80" s="723"/>
      <c r="F80" s="716">
        <f t="shared" si="5"/>
        <v>0</v>
      </c>
      <c r="G80" s="1882"/>
      <c r="H80" s="1883"/>
      <c r="I80" s="723"/>
      <c r="J80" s="716">
        <f t="shared" si="6"/>
        <v>0</v>
      </c>
      <c r="K80" s="1882"/>
      <c r="L80" s="1883"/>
      <c r="M80" s="723"/>
      <c r="N80" s="716">
        <f t="shared" si="7"/>
        <v>0</v>
      </c>
      <c r="O80" s="1882"/>
      <c r="P80" s="1883"/>
      <c r="Q80" s="266"/>
      <c r="R80" s="266"/>
      <c r="S80" s="266"/>
      <c r="T80" s="149"/>
      <c r="Z80" s="137">
        <f t="shared" si="8"/>
        <v>0</v>
      </c>
    </row>
    <row r="81" spans="1:26" s="122" customFormat="1" ht="27.75" customHeight="1">
      <c r="A81" s="218">
        <v>244</v>
      </c>
      <c r="B81" s="217"/>
      <c r="C81" s="1823" t="s">
        <v>644</v>
      </c>
      <c r="D81" s="1891"/>
      <c r="E81" s="723"/>
      <c r="F81" s="716">
        <f t="shared" si="5"/>
        <v>0</v>
      </c>
      <c r="G81" s="1882"/>
      <c r="H81" s="1883"/>
      <c r="I81" s="723"/>
      <c r="J81" s="716">
        <f t="shared" si="6"/>
        <v>0</v>
      </c>
      <c r="K81" s="1882"/>
      <c r="L81" s="1883"/>
      <c r="M81" s="723"/>
      <c r="N81" s="716">
        <f t="shared" si="7"/>
        <v>0</v>
      </c>
      <c r="O81" s="1882"/>
      <c r="P81" s="1883"/>
      <c r="Q81" s="266"/>
      <c r="R81" s="266"/>
      <c r="S81" s="266"/>
      <c r="T81" s="149"/>
      <c r="Z81" s="137">
        <f t="shared" si="8"/>
        <v>0</v>
      </c>
    </row>
    <row r="82" spans="1:26" s="122" customFormat="1" ht="27.75" customHeight="1">
      <c r="A82" s="218">
        <v>244</v>
      </c>
      <c r="B82" s="217"/>
      <c r="C82" s="1823" t="s">
        <v>645</v>
      </c>
      <c r="D82" s="1891"/>
      <c r="E82" s="723"/>
      <c r="F82" s="716">
        <f t="shared" si="5"/>
        <v>0</v>
      </c>
      <c r="G82" s="1882"/>
      <c r="H82" s="1883"/>
      <c r="I82" s="723"/>
      <c r="J82" s="716">
        <f t="shared" si="6"/>
        <v>0</v>
      </c>
      <c r="K82" s="1882"/>
      <c r="L82" s="1883"/>
      <c r="M82" s="723"/>
      <c r="N82" s="716">
        <f t="shared" si="7"/>
        <v>0</v>
      </c>
      <c r="O82" s="1882"/>
      <c r="P82" s="1883"/>
      <c r="Q82" s="266"/>
      <c r="R82" s="266"/>
      <c r="S82" s="266"/>
      <c r="T82" s="149"/>
      <c r="Z82" s="137">
        <f t="shared" si="8"/>
        <v>0</v>
      </c>
    </row>
    <row r="83" spans="1:26" s="122" customFormat="1" ht="27.75" customHeight="1">
      <c r="A83" s="218">
        <v>244</v>
      </c>
      <c r="B83" s="217"/>
      <c r="C83" s="1823" t="s">
        <v>646</v>
      </c>
      <c r="D83" s="1891"/>
      <c r="E83" s="723"/>
      <c r="F83" s="716">
        <f t="shared" si="5"/>
        <v>0</v>
      </c>
      <c r="G83" s="1882"/>
      <c r="H83" s="1883"/>
      <c r="I83" s="723"/>
      <c r="J83" s="716">
        <f t="shared" si="6"/>
        <v>0</v>
      </c>
      <c r="K83" s="1882"/>
      <c r="L83" s="1883"/>
      <c r="M83" s="723"/>
      <c r="N83" s="716">
        <f t="shared" si="7"/>
        <v>0</v>
      </c>
      <c r="O83" s="1882"/>
      <c r="P83" s="1883"/>
      <c r="Q83" s="266"/>
      <c r="R83" s="266"/>
      <c r="S83" s="266"/>
      <c r="T83" s="149"/>
      <c r="Z83" s="137">
        <f t="shared" si="8"/>
        <v>0</v>
      </c>
    </row>
    <row r="84" spans="1:26" s="122" customFormat="1" ht="27.75" customHeight="1">
      <c r="A84" s="218">
        <v>244</v>
      </c>
      <c r="B84" s="217"/>
      <c r="C84" s="1823" t="s">
        <v>647</v>
      </c>
      <c r="D84" s="1891"/>
      <c r="E84" s="723"/>
      <c r="F84" s="716">
        <f t="shared" si="5"/>
        <v>0</v>
      </c>
      <c r="G84" s="1882"/>
      <c r="H84" s="1883"/>
      <c r="I84" s="723"/>
      <c r="J84" s="716">
        <f t="shared" si="6"/>
        <v>0</v>
      </c>
      <c r="K84" s="1882"/>
      <c r="L84" s="1883"/>
      <c r="M84" s="723"/>
      <c r="N84" s="716">
        <f t="shared" si="7"/>
        <v>0</v>
      </c>
      <c r="O84" s="1882"/>
      <c r="P84" s="1883"/>
      <c r="Q84" s="266"/>
      <c r="R84" s="266"/>
      <c r="S84" s="266"/>
      <c r="T84" s="149"/>
      <c r="Z84" s="137">
        <f t="shared" si="8"/>
        <v>0</v>
      </c>
    </row>
    <row r="85" spans="1:26" s="122" customFormat="1" ht="27.75" customHeight="1">
      <c r="A85" s="218">
        <v>244</v>
      </c>
      <c r="B85" s="217"/>
      <c r="C85" s="1823" t="s">
        <v>648</v>
      </c>
      <c r="D85" s="1891"/>
      <c r="E85" s="723"/>
      <c r="F85" s="716">
        <f t="shared" si="5"/>
        <v>0</v>
      </c>
      <c r="G85" s="1882"/>
      <c r="H85" s="1883"/>
      <c r="I85" s="723"/>
      <c r="J85" s="716">
        <f t="shared" si="6"/>
        <v>0</v>
      </c>
      <c r="K85" s="1882"/>
      <c r="L85" s="1883"/>
      <c r="M85" s="723"/>
      <c r="N85" s="716">
        <f t="shared" si="7"/>
        <v>0</v>
      </c>
      <c r="O85" s="1882"/>
      <c r="P85" s="1883"/>
      <c r="Q85" s="266"/>
      <c r="R85" s="266"/>
      <c r="S85" s="266"/>
      <c r="T85" s="149"/>
      <c r="Z85" s="137">
        <f t="shared" si="8"/>
        <v>0</v>
      </c>
    </row>
    <row r="86" spans="1:26" s="122" customFormat="1" ht="27.75" customHeight="1">
      <c r="A86" s="218">
        <v>244</v>
      </c>
      <c r="B86" s="217"/>
      <c r="C86" s="1823" t="s">
        <v>649</v>
      </c>
      <c r="D86" s="1891"/>
      <c r="E86" s="723"/>
      <c r="F86" s="716">
        <f t="shared" si="5"/>
        <v>0</v>
      </c>
      <c r="G86" s="1882"/>
      <c r="H86" s="1883"/>
      <c r="I86" s="723"/>
      <c r="J86" s="716">
        <f t="shared" si="6"/>
        <v>0</v>
      </c>
      <c r="K86" s="1882"/>
      <c r="L86" s="1883"/>
      <c r="M86" s="723"/>
      <c r="N86" s="716">
        <f t="shared" si="7"/>
        <v>0</v>
      </c>
      <c r="O86" s="1882"/>
      <c r="P86" s="1883"/>
      <c r="Q86" s="266"/>
      <c r="R86" s="266"/>
      <c r="S86" s="266"/>
      <c r="T86" s="149"/>
      <c r="Z86" s="137">
        <f t="shared" si="8"/>
        <v>0</v>
      </c>
    </row>
    <row r="87" spans="1:26" s="122" customFormat="1" ht="27.75" customHeight="1">
      <c r="A87" s="218">
        <v>244</v>
      </c>
      <c r="B87" s="217"/>
      <c r="C87" s="1823" t="s">
        <v>650</v>
      </c>
      <c r="D87" s="1891"/>
      <c r="E87" s="723"/>
      <c r="F87" s="716">
        <f t="shared" si="5"/>
        <v>0</v>
      </c>
      <c r="G87" s="1882"/>
      <c r="H87" s="1883"/>
      <c r="I87" s="723"/>
      <c r="J87" s="716">
        <f t="shared" si="6"/>
        <v>0</v>
      </c>
      <c r="K87" s="1882"/>
      <c r="L87" s="1883"/>
      <c r="M87" s="723"/>
      <c r="N87" s="716">
        <f t="shared" si="7"/>
        <v>0</v>
      </c>
      <c r="O87" s="1882"/>
      <c r="P87" s="1883"/>
      <c r="Q87" s="266"/>
      <c r="R87" s="266"/>
      <c r="S87" s="266"/>
      <c r="T87" s="149"/>
      <c r="Z87" s="137">
        <f t="shared" si="8"/>
        <v>0</v>
      </c>
    </row>
    <row r="88" spans="1:26" s="122" customFormat="1" ht="27.75" customHeight="1">
      <c r="A88" s="218">
        <v>244</v>
      </c>
      <c r="B88" s="217"/>
      <c r="C88" s="1823" t="s">
        <v>651</v>
      </c>
      <c r="D88" s="1891"/>
      <c r="E88" s="723"/>
      <c r="F88" s="716">
        <f t="shared" si="5"/>
        <v>0</v>
      </c>
      <c r="G88" s="1882"/>
      <c r="H88" s="1883"/>
      <c r="I88" s="723"/>
      <c r="J88" s="716">
        <f t="shared" si="6"/>
        <v>0</v>
      </c>
      <c r="K88" s="1882"/>
      <c r="L88" s="1883"/>
      <c r="M88" s="723"/>
      <c r="N88" s="716">
        <f t="shared" si="7"/>
        <v>0</v>
      </c>
      <c r="O88" s="1882"/>
      <c r="P88" s="1883"/>
      <c r="Q88" s="266"/>
      <c r="R88" s="266"/>
      <c r="S88" s="266"/>
      <c r="T88" s="149"/>
      <c r="Z88" s="137">
        <f t="shared" si="8"/>
        <v>0</v>
      </c>
    </row>
    <row r="89" spans="1:26" s="122" customFormat="1" ht="27.75" customHeight="1">
      <c r="A89" s="218">
        <v>244</v>
      </c>
      <c r="B89" s="217"/>
      <c r="C89" s="1823" t="s">
        <v>652</v>
      </c>
      <c r="D89" s="1891"/>
      <c r="E89" s="723"/>
      <c r="F89" s="716">
        <f t="shared" si="5"/>
        <v>0</v>
      </c>
      <c r="G89" s="1882"/>
      <c r="H89" s="1883"/>
      <c r="I89" s="723"/>
      <c r="J89" s="716">
        <f t="shared" si="6"/>
        <v>0</v>
      </c>
      <c r="K89" s="1882"/>
      <c r="L89" s="1883"/>
      <c r="M89" s="723"/>
      <c r="N89" s="716">
        <f t="shared" si="7"/>
        <v>0</v>
      </c>
      <c r="O89" s="1882"/>
      <c r="P89" s="1883"/>
      <c r="Q89" s="266"/>
      <c r="R89" s="266"/>
      <c r="S89" s="266"/>
      <c r="T89" s="149"/>
      <c r="Z89" s="137">
        <f t="shared" si="8"/>
        <v>0</v>
      </c>
    </row>
    <row r="90" spans="1:26" s="122" customFormat="1" ht="27.75" customHeight="1">
      <c r="A90" s="218">
        <v>244</v>
      </c>
      <c r="B90" s="217"/>
      <c r="C90" s="1823" t="s">
        <v>653</v>
      </c>
      <c r="D90" s="1891"/>
      <c r="E90" s="723"/>
      <c r="F90" s="716">
        <f t="shared" si="5"/>
        <v>0</v>
      </c>
      <c r="G90" s="1882"/>
      <c r="H90" s="1883"/>
      <c r="I90" s="723"/>
      <c r="J90" s="716">
        <f t="shared" si="6"/>
        <v>0</v>
      </c>
      <c r="K90" s="1882"/>
      <c r="L90" s="1883"/>
      <c r="M90" s="723"/>
      <c r="N90" s="716">
        <f t="shared" si="7"/>
        <v>0</v>
      </c>
      <c r="O90" s="1882"/>
      <c r="P90" s="1883"/>
      <c r="Q90" s="266"/>
      <c r="R90" s="266"/>
      <c r="S90" s="266"/>
      <c r="T90" s="149"/>
      <c r="Z90" s="137">
        <f t="shared" si="8"/>
        <v>0</v>
      </c>
    </row>
    <row r="91" spans="1:26" s="122" customFormat="1" ht="27.75" customHeight="1">
      <c r="A91" s="218">
        <v>244</v>
      </c>
      <c r="B91" s="217"/>
      <c r="C91" s="1823" t="s">
        <v>654</v>
      </c>
      <c r="D91" s="1891"/>
      <c r="E91" s="723"/>
      <c r="F91" s="716">
        <f t="shared" si="5"/>
        <v>0</v>
      </c>
      <c r="G91" s="1882"/>
      <c r="H91" s="1883"/>
      <c r="I91" s="723"/>
      <c r="J91" s="716">
        <f t="shared" si="6"/>
        <v>0</v>
      </c>
      <c r="K91" s="1882"/>
      <c r="L91" s="1883"/>
      <c r="M91" s="723"/>
      <c r="N91" s="716">
        <f t="shared" si="7"/>
        <v>0</v>
      </c>
      <c r="O91" s="1882"/>
      <c r="P91" s="1883"/>
      <c r="Q91" s="266"/>
      <c r="R91" s="266"/>
      <c r="S91" s="266"/>
      <c r="T91" s="149"/>
      <c r="Z91" s="137">
        <f t="shared" si="8"/>
        <v>0</v>
      </c>
    </row>
    <row r="92" spans="1:26" s="122" customFormat="1" ht="27.75" customHeight="1">
      <c r="A92" s="218">
        <v>244</v>
      </c>
      <c r="B92" s="217"/>
      <c r="C92" s="1823" t="s">
        <v>655</v>
      </c>
      <c r="D92" s="1891"/>
      <c r="E92" s="723"/>
      <c r="F92" s="716">
        <f t="shared" si="5"/>
        <v>0</v>
      </c>
      <c r="G92" s="1882"/>
      <c r="H92" s="1883"/>
      <c r="I92" s="723"/>
      <c r="J92" s="716">
        <f t="shared" si="6"/>
        <v>0</v>
      </c>
      <c r="K92" s="1882"/>
      <c r="L92" s="1883"/>
      <c r="M92" s="723"/>
      <c r="N92" s="716">
        <f t="shared" si="7"/>
        <v>0</v>
      </c>
      <c r="O92" s="1882"/>
      <c r="P92" s="1883"/>
      <c r="Q92" s="266"/>
      <c r="R92" s="266"/>
      <c r="S92" s="266"/>
      <c r="T92" s="149"/>
      <c r="Z92" s="137">
        <f t="shared" si="8"/>
        <v>0</v>
      </c>
    </row>
    <row r="93" spans="1:26" s="122" customFormat="1" ht="27.75" customHeight="1">
      <c r="A93" s="218">
        <v>244</v>
      </c>
      <c r="B93" s="217"/>
      <c r="C93" s="1823" t="s">
        <v>656</v>
      </c>
      <c r="D93" s="1891"/>
      <c r="E93" s="723"/>
      <c r="F93" s="716">
        <f t="shared" si="5"/>
        <v>0</v>
      </c>
      <c r="G93" s="1882"/>
      <c r="H93" s="1883"/>
      <c r="I93" s="723"/>
      <c r="J93" s="716">
        <f t="shared" si="6"/>
        <v>0</v>
      </c>
      <c r="K93" s="1882"/>
      <c r="L93" s="1883"/>
      <c r="M93" s="723"/>
      <c r="N93" s="716">
        <f t="shared" si="7"/>
        <v>0</v>
      </c>
      <c r="O93" s="1882"/>
      <c r="P93" s="1883"/>
      <c r="Q93" s="266"/>
      <c r="R93" s="266"/>
      <c r="S93" s="266"/>
      <c r="T93" s="149"/>
      <c r="Z93" s="137">
        <f t="shared" si="8"/>
        <v>0</v>
      </c>
    </row>
    <row r="94" spans="1:26" s="122" customFormat="1" ht="27.75" customHeight="1">
      <c r="A94" s="218">
        <v>244</v>
      </c>
      <c r="B94" s="217"/>
      <c r="C94" s="1823" t="s">
        <v>657</v>
      </c>
      <c r="D94" s="1891"/>
      <c r="E94" s="723"/>
      <c r="F94" s="716">
        <f t="shared" si="5"/>
        <v>0</v>
      </c>
      <c r="G94" s="1882"/>
      <c r="H94" s="1883"/>
      <c r="I94" s="723"/>
      <c r="J94" s="716">
        <f t="shared" si="6"/>
        <v>0</v>
      </c>
      <c r="K94" s="1882"/>
      <c r="L94" s="1883"/>
      <c r="M94" s="723"/>
      <c r="N94" s="716">
        <f t="shared" si="7"/>
        <v>0</v>
      </c>
      <c r="O94" s="1882"/>
      <c r="P94" s="1883"/>
      <c r="Q94" s="266"/>
      <c r="R94" s="266"/>
      <c r="S94" s="266"/>
      <c r="T94" s="149"/>
      <c r="Z94" s="137">
        <f t="shared" si="8"/>
        <v>0</v>
      </c>
    </row>
    <row r="95" spans="1:26" s="122" customFormat="1" ht="27.75" customHeight="1">
      <c r="A95" s="218">
        <v>244</v>
      </c>
      <c r="B95" s="217"/>
      <c r="C95" s="1823" t="s">
        <v>658</v>
      </c>
      <c r="D95" s="1891"/>
      <c r="E95" s="723"/>
      <c r="F95" s="716">
        <f t="shared" si="5"/>
        <v>0</v>
      </c>
      <c r="G95" s="1882"/>
      <c r="H95" s="1883"/>
      <c r="I95" s="723"/>
      <c r="J95" s="716">
        <f t="shared" si="6"/>
        <v>0</v>
      </c>
      <c r="K95" s="1882"/>
      <c r="L95" s="1883"/>
      <c r="M95" s="723"/>
      <c r="N95" s="716">
        <f t="shared" si="7"/>
        <v>0</v>
      </c>
      <c r="O95" s="1882"/>
      <c r="P95" s="1883"/>
      <c r="Q95" s="266"/>
      <c r="R95" s="266"/>
      <c r="S95" s="266"/>
      <c r="T95" s="149"/>
      <c r="Z95" s="137">
        <f t="shared" si="8"/>
        <v>0</v>
      </c>
    </row>
    <row r="96" spans="1:26" s="122" customFormat="1" ht="27.75" customHeight="1">
      <c r="A96" s="218">
        <v>244</v>
      </c>
      <c r="B96" s="217"/>
      <c r="C96" s="1823" t="s">
        <v>659</v>
      </c>
      <c r="D96" s="1891"/>
      <c r="E96" s="723"/>
      <c r="F96" s="716">
        <f t="shared" si="5"/>
        <v>0</v>
      </c>
      <c r="G96" s="1882"/>
      <c r="H96" s="1883"/>
      <c r="I96" s="723"/>
      <c r="J96" s="716">
        <f t="shared" si="6"/>
        <v>0</v>
      </c>
      <c r="K96" s="1882"/>
      <c r="L96" s="1883"/>
      <c r="M96" s="723"/>
      <c r="N96" s="716">
        <f t="shared" si="7"/>
        <v>0</v>
      </c>
      <c r="O96" s="1882"/>
      <c r="P96" s="1883"/>
      <c r="Q96" s="266"/>
      <c r="R96" s="266"/>
      <c r="S96" s="266"/>
      <c r="T96" s="149"/>
      <c r="Z96" s="137">
        <f t="shared" si="8"/>
        <v>0</v>
      </c>
    </row>
    <row r="97" spans="1:29" s="122" customFormat="1" ht="27.75" customHeight="1">
      <c r="A97" s="243">
        <v>244</v>
      </c>
      <c r="B97" s="246"/>
      <c r="C97" s="1823" t="s">
        <v>660</v>
      </c>
      <c r="D97" s="1891"/>
      <c r="E97" s="742"/>
      <c r="F97" s="738">
        <f t="shared" si="5"/>
        <v>0</v>
      </c>
      <c r="G97" s="1705">
        <f>G98-SUM(G58:H96)</f>
        <v>2805000</v>
      </c>
      <c r="H97" s="1712"/>
      <c r="I97" s="742"/>
      <c r="J97" s="738">
        <f t="shared" si="6"/>
        <v>0</v>
      </c>
      <c r="K97" s="1705">
        <f>K98-SUM(K58:L96)</f>
        <v>115000</v>
      </c>
      <c r="L97" s="1712"/>
      <c r="M97" s="742"/>
      <c r="N97" s="738">
        <f t="shared" si="7"/>
        <v>0</v>
      </c>
      <c r="O97" s="1705">
        <f>O98-SUM(O58:P96)</f>
        <v>115000</v>
      </c>
      <c r="P97" s="1712"/>
      <c r="Q97" s="266"/>
      <c r="R97" s="266"/>
      <c r="S97" s="266"/>
      <c r="T97" s="149"/>
      <c r="Z97" s="137">
        <f t="shared" si="8"/>
        <v>0</v>
      </c>
    </row>
    <row r="98" spans="1:29" s="267" customFormat="1" ht="27.75" customHeight="1">
      <c r="A98" s="263"/>
      <c r="B98" s="265"/>
      <c r="C98" s="1897" t="s">
        <v>554</v>
      </c>
      <c r="D98" s="1898"/>
      <c r="E98" s="736" t="s">
        <v>412</v>
      </c>
      <c r="F98" s="734" t="s">
        <v>412</v>
      </c>
      <c r="G98" s="1667">
        <f>SUMIFS(Титульный!$O$69:$O$292,Титульный!$K$69:$K$292,'КФО 5'!$Q98,Титульный!$L$69:$L$292,'КФО 5'!$R98,Титульный!$N$69:$N$292,'КФО 5'!$S98)</f>
        <v>2805000</v>
      </c>
      <c r="H98" s="1800">
        <f>SUMIFS(Титульный!$O$69:$O$292,Титульный!$K$69:$K$292,'КФО 5'!$Q98,Титульный!$L$69:$L$292,'КФО 5'!$R98,Титульный!$N$69:$N$292,'КФО 5'!$S98)</f>
        <v>2805000</v>
      </c>
      <c r="I98" s="736" t="s">
        <v>412</v>
      </c>
      <c r="J98" s="734" t="s">
        <v>412</v>
      </c>
      <c r="K98" s="1886">
        <f>SUMIFS(Титульный!$P$69:$P$292,
Титульный!$K$69:$K$292,'КФО 5'!$Q98,
Титульный!$L$69:$L$292,'КФО 5'!$R98,
Титульный!$N$69:$N$292,'КФО 5'!$S98)</f>
        <v>115000</v>
      </c>
      <c r="L98" s="1800">
        <f>SUMIFS(Титульный!$P$69:$P$292,
Титульный!$K$69:$K$292,'КФО 5'!$Q98,
Титульный!$L$69:$L$292,'КФО 5'!$R98,
Титульный!$N$69:$N$292,'КФО 5'!$S98)</f>
        <v>115000</v>
      </c>
      <c r="M98" s="718" t="s">
        <v>412</v>
      </c>
      <c r="N98" s="734" t="s">
        <v>412</v>
      </c>
      <c r="O98" s="1886">
        <f>SUMIFS(Титульный!$Q$69:$Q$292,
Титульный!$K$69:$K$292,'КФО 5'!$Q98,
Титульный!$L$69:$L$292,'КФО 5'!$R98,
Титульный!$N$69:$N$292,'КФО 5'!$S98)</f>
        <v>115000</v>
      </c>
      <c r="P98" s="1800">
        <f>SUMIFS(Титульный!$Q$69:$Q$292,
Титульный!$K$69:$K$292,'КФО 5'!$Q98,
Титульный!$L$69:$L$292,'КФО 5'!$R98,
Титульный!$N$69:$N$292,'КФО 5'!$S98)</f>
        <v>115000</v>
      </c>
      <c r="Q98" s="266">
        <v>5</v>
      </c>
      <c r="R98" s="266">
        <v>244</v>
      </c>
      <c r="S98" s="266">
        <v>225</v>
      </c>
      <c r="T98" s="266"/>
      <c r="Z98" s="137">
        <f t="shared" si="8"/>
        <v>0</v>
      </c>
    </row>
    <row r="99" spans="1:29" s="144" customFormat="1" ht="12" customHeight="1">
      <c r="B99" s="256"/>
      <c r="Q99" s="272"/>
      <c r="R99" s="272"/>
      <c r="S99" s="272"/>
      <c r="T99" s="146"/>
      <c r="Z99" s="137">
        <f t="shared" si="8"/>
        <v>0</v>
      </c>
    </row>
    <row r="100" spans="1:29" s="144" customFormat="1" ht="12" hidden="1" customHeight="1">
      <c r="B100" s="256"/>
      <c r="Q100" s="272"/>
      <c r="R100" s="272"/>
      <c r="S100" s="272"/>
      <c r="T100" s="146"/>
      <c r="Z100" s="137">
        <f t="shared" si="8"/>
        <v>0</v>
      </c>
    </row>
    <row r="101" spans="1:29" s="144" customFormat="1" ht="12" hidden="1" customHeight="1">
      <c r="B101" s="256"/>
      <c r="Q101" s="272"/>
      <c r="R101" s="272"/>
      <c r="S101" s="272"/>
      <c r="T101" s="146"/>
      <c r="Z101" s="137">
        <f t="shared" ref="Z101:Z132" si="9">SUM(AA101:AR101)</f>
        <v>0</v>
      </c>
    </row>
    <row r="102" spans="1:29" s="215" customFormat="1" ht="27.75" customHeight="1">
      <c r="A102" s="1643" t="s">
        <v>580</v>
      </c>
      <c r="B102" s="1643"/>
      <c r="C102" s="1643"/>
      <c r="D102" s="1643"/>
      <c r="E102" s="1643"/>
      <c r="F102" s="1643"/>
      <c r="G102" s="1643"/>
      <c r="H102" s="1643"/>
      <c r="I102" s="1643"/>
      <c r="J102" s="1643"/>
      <c r="K102" s="1643"/>
      <c r="L102" s="1643"/>
      <c r="M102" s="1643"/>
      <c r="N102" s="1643"/>
      <c r="O102" s="1643"/>
      <c r="P102" s="1643"/>
      <c r="Q102" s="266"/>
      <c r="R102" s="266"/>
      <c r="S102" s="266"/>
      <c r="T102" s="214"/>
      <c r="Z102" s="137">
        <f t="shared" si="9"/>
        <v>0</v>
      </c>
    </row>
    <row r="103" spans="1:29" s="144" customFormat="1" ht="12" customHeight="1">
      <c r="B103" s="256"/>
      <c r="Q103" s="272"/>
      <c r="R103" s="272"/>
      <c r="S103" s="272"/>
      <c r="T103" s="146"/>
      <c r="Z103" s="137">
        <f t="shared" si="9"/>
        <v>0</v>
      </c>
    </row>
    <row r="104" spans="1:29" s="144" customFormat="1" ht="33" customHeight="1">
      <c r="A104" s="1687" t="s">
        <v>541</v>
      </c>
      <c r="B104" s="1651" t="s">
        <v>430</v>
      </c>
      <c r="C104" s="1892" t="s">
        <v>553</v>
      </c>
      <c r="D104" s="1696"/>
      <c r="E104" s="1858" t="s">
        <v>1114</v>
      </c>
      <c r="F104" s="1859"/>
      <c r="G104" s="1859"/>
      <c r="H104" s="1887"/>
      <c r="I104" s="1856" t="s">
        <v>1115</v>
      </c>
      <c r="J104" s="1854"/>
      <c r="K104" s="1854"/>
      <c r="L104" s="1855"/>
      <c r="M104" s="1853" t="s">
        <v>1116</v>
      </c>
      <c r="N104" s="1854"/>
      <c r="O104" s="1854"/>
      <c r="P104" s="1855"/>
      <c r="Q104" s="272"/>
      <c r="R104" s="272"/>
      <c r="S104" s="272"/>
      <c r="T104" s="146"/>
      <c r="Z104" s="137">
        <f t="shared" si="9"/>
        <v>0</v>
      </c>
      <c r="AA104" s="137">
        <f>SUM(G107:G121)-SUBTOTAL(109,G107:G121)</f>
        <v>0</v>
      </c>
      <c r="AB104" s="137">
        <f>SUM(K107:L121)-SUBTOTAL(109,K107:L121)</f>
        <v>0</v>
      </c>
      <c r="AC104" s="137">
        <f>SUM(O107:P121)-SUBTOTAL(109,O107:P121)</f>
        <v>0</v>
      </c>
    </row>
    <row r="105" spans="1:29" s="144" customFormat="1" ht="49.15" customHeight="1">
      <c r="A105" s="1688"/>
      <c r="B105" s="1684"/>
      <c r="C105" s="1893"/>
      <c r="D105" s="1894"/>
      <c r="E105" s="169" t="s">
        <v>581</v>
      </c>
      <c r="F105" s="171" t="s">
        <v>582</v>
      </c>
      <c r="G105" s="1838" t="s">
        <v>496</v>
      </c>
      <c r="H105" s="1839"/>
      <c r="I105" s="169" t="s">
        <v>581</v>
      </c>
      <c r="J105" s="171" t="s">
        <v>582</v>
      </c>
      <c r="K105" s="1838" t="s">
        <v>496</v>
      </c>
      <c r="L105" s="1839"/>
      <c r="M105" s="169" t="s">
        <v>581</v>
      </c>
      <c r="N105" s="171" t="s">
        <v>582</v>
      </c>
      <c r="O105" s="1838" t="s">
        <v>496</v>
      </c>
      <c r="P105" s="1839"/>
      <c r="Q105" s="272"/>
      <c r="R105" s="272"/>
      <c r="S105" s="272"/>
      <c r="T105" s="146"/>
      <c r="Z105" s="137">
        <f t="shared" si="9"/>
        <v>0</v>
      </c>
    </row>
    <row r="106" spans="1:29" s="144" customFormat="1">
      <c r="A106" s="157" t="s">
        <v>6</v>
      </c>
      <c r="B106" s="366" t="s">
        <v>7</v>
      </c>
      <c r="C106" s="1895" t="s">
        <v>8</v>
      </c>
      <c r="D106" s="1896"/>
      <c r="E106" s="187">
        <v>4</v>
      </c>
      <c r="F106" s="178">
        <v>5</v>
      </c>
      <c r="G106" s="1653" t="s">
        <v>716</v>
      </c>
      <c r="H106" s="1654"/>
      <c r="I106" s="187">
        <v>7</v>
      </c>
      <c r="J106" s="178">
        <v>8</v>
      </c>
      <c r="K106" s="1653" t="s">
        <v>717</v>
      </c>
      <c r="L106" s="1654"/>
      <c r="M106" s="187" t="s">
        <v>413</v>
      </c>
      <c r="N106" s="178" t="s">
        <v>418</v>
      </c>
      <c r="O106" s="1653" t="s">
        <v>499</v>
      </c>
      <c r="P106" s="1654"/>
      <c r="Q106" s="272"/>
      <c r="R106" s="272"/>
      <c r="S106" s="272"/>
      <c r="T106" s="146"/>
      <c r="Z106" s="137">
        <f t="shared" si="9"/>
        <v>0</v>
      </c>
    </row>
    <row r="107" spans="1:29" s="122" customFormat="1" ht="27.75" customHeight="1">
      <c r="A107" s="218">
        <v>244</v>
      </c>
      <c r="B107" s="217"/>
      <c r="C107" s="1823" t="s">
        <v>864</v>
      </c>
      <c r="D107" s="1891"/>
      <c r="E107" s="723"/>
      <c r="F107" s="716">
        <f t="shared" ref="F107:F121" si="10">IFERROR(ROUND(G107/E107,2),0)</f>
        <v>0</v>
      </c>
      <c r="G107" s="1638"/>
      <c r="H107" s="1641"/>
      <c r="I107" s="723"/>
      <c r="J107" s="716">
        <f t="shared" ref="J107:J121" si="11">IFERROR(ROUND(K107/I107,2),0)</f>
        <v>0</v>
      </c>
      <c r="K107" s="1638"/>
      <c r="L107" s="1641"/>
      <c r="M107" s="723"/>
      <c r="N107" s="716">
        <f t="shared" ref="N107:N121" si="12">IFERROR(ROUND(O107/M107,2),0)</f>
        <v>0</v>
      </c>
      <c r="O107" s="1638"/>
      <c r="P107" s="1641"/>
      <c r="Q107" s="266"/>
      <c r="R107" s="266"/>
      <c r="S107" s="266"/>
      <c r="T107" s="149"/>
      <c r="Z107" s="137">
        <f t="shared" si="9"/>
        <v>0</v>
      </c>
    </row>
    <row r="108" spans="1:29" s="122" customFormat="1" ht="27.75" customHeight="1">
      <c r="A108" s="218">
        <v>244</v>
      </c>
      <c r="B108" s="217"/>
      <c r="C108" s="1823" t="s">
        <v>662</v>
      </c>
      <c r="D108" s="1891"/>
      <c r="E108" s="723"/>
      <c r="F108" s="716">
        <f t="shared" si="10"/>
        <v>0</v>
      </c>
      <c r="G108" s="1882"/>
      <c r="H108" s="1883"/>
      <c r="I108" s="723"/>
      <c r="J108" s="716">
        <f t="shared" si="11"/>
        <v>0</v>
      </c>
      <c r="K108" s="1882"/>
      <c r="L108" s="1883"/>
      <c r="M108" s="723"/>
      <c r="N108" s="716">
        <f t="shared" si="12"/>
        <v>0</v>
      </c>
      <c r="O108" s="1882"/>
      <c r="P108" s="1883"/>
      <c r="Q108" s="266"/>
      <c r="R108" s="266"/>
      <c r="S108" s="266"/>
      <c r="T108" s="149"/>
      <c r="Z108" s="137">
        <f t="shared" si="9"/>
        <v>0</v>
      </c>
    </row>
    <row r="109" spans="1:29" s="122" customFormat="1" ht="27.75" customHeight="1">
      <c r="A109" s="218">
        <v>244</v>
      </c>
      <c r="B109" s="217"/>
      <c r="C109" s="1823" t="s">
        <v>663</v>
      </c>
      <c r="D109" s="1891"/>
      <c r="E109" s="723"/>
      <c r="F109" s="716">
        <f t="shared" si="10"/>
        <v>0</v>
      </c>
      <c r="G109" s="1882"/>
      <c r="H109" s="1883"/>
      <c r="I109" s="723"/>
      <c r="J109" s="716">
        <f t="shared" si="11"/>
        <v>0</v>
      </c>
      <c r="K109" s="1882"/>
      <c r="L109" s="1883"/>
      <c r="M109" s="723"/>
      <c r="N109" s="716">
        <f t="shared" si="12"/>
        <v>0</v>
      </c>
      <c r="O109" s="1882"/>
      <c r="P109" s="1883"/>
      <c r="Q109" s="266"/>
      <c r="R109" s="266"/>
      <c r="S109" s="266"/>
      <c r="T109" s="149"/>
      <c r="Z109" s="137">
        <f t="shared" si="9"/>
        <v>0</v>
      </c>
    </row>
    <row r="110" spans="1:29" s="122" customFormat="1" ht="27.75" customHeight="1">
      <c r="A110" s="218">
        <v>244</v>
      </c>
      <c r="B110" s="217"/>
      <c r="C110" s="1823" t="s">
        <v>664</v>
      </c>
      <c r="D110" s="1891"/>
      <c r="E110" s="723"/>
      <c r="F110" s="716">
        <f t="shared" si="10"/>
        <v>0</v>
      </c>
      <c r="G110" s="1882"/>
      <c r="H110" s="1883"/>
      <c r="I110" s="723"/>
      <c r="J110" s="716">
        <f t="shared" si="11"/>
        <v>0</v>
      </c>
      <c r="K110" s="1882"/>
      <c r="L110" s="1883"/>
      <c r="M110" s="723"/>
      <c r="N110" s="716">
        <f t="shared" si="12"/>
        <v>0</v>
      </c>
      <c r="O110" s="1882"/>
      <c r="P110" s="1883"/>
      <c r="Q110" s="266"/>
      <c r="R110" s="266"/>
      <c r="S110" s="266"/>
      <c r="T110" s="149"/>
      <c r="Z110" s="137">
        <f t="shared" si="9"/>
        <v>0</v>
      </c>
    </row>
    <row r="111" spans="1:29" s="122" customFormat="1" ht="27.75" customHeight="1">
      <c r="A111" s="218">
        <v>244</v>
      </c>
      <c r="B111" s="217"/>
      <c r="C111" s="1823" t="s">
        <v>665</v>
      </c>
      <c r="D111" s="1891"/>
      <c r="E111" s="1221"/>
      <c r="F111" s="1222">
        <f t="shared" si="10"/>
        <v>0</v>
      </c>
      <c r="G111" s="1882"/>
      <c r="H111" s="1883"/>
      <c r="I111" s="1221"/>
      <c r="J111" s="1222">
        <f>IFERROR(ROUND(K111/I111,2),0)</f>
        <v>0</v>
      </c>
      <c r="K111" s="1882"/>
      <c r="L111" s="1883"/>
      <c r="M111" s="1221"/>
      <c r="N111" s="1222">
        <f t="shared" si="12"/>
        <v>0</v>
      </c>
      <c r="O111" s="1882"/>
      <c r="P111" s="1883"/>
      <c r="Q111" s="266"/>
      <c r="R111" s="266"/>
      <c r="S111" s="266"/>
      <c r="T111" s="149"/>
      <c r="Z111" s="137">
        <f t="shared" si="9"/>
        <v>0</v>
      </c>
    </row>
    <row r="112" spans="1:29" s="122" customFormat="1" ht="27.75" customHeight="1">
      <c r="A112" s="218">
        <v>244</v>
      </c>
      <c r="B112" s="217"/>
      <c r="C112" s="1823" t="s">
        <v>667</v>
      </c>
      <c r="D112" s="1891"/>
      <c r="E112" s="1221"/>
      <c r="F112" s="1222">
        <f t="shared" si="10"/>
        <v>0</v>
      </c>
      <c r="G112" s="1882"/>
      <c r="H112" s="1883"/>
      <c r="I112" s="1221"/>
      <c r="J112" s="1222">
        <f t="shared" si="11"/>
        <v>0</v>
      </c>
      <c r="K112" s="1882"/>
      <c r="L112" s="1883"/>
      <c r="M112" s="1221"/>
      <c r="N112" s="1222">
        <f t="shared" si="12"/>
        <v>0</v>
      </c>
      <c r="O112" s="1882"/>
      <c r="P112" s="1883"/>
      <c r="Q112" s="266"/>
      <c r="R112" s="266"/>
      <c r="S112" s="266"/>
      <c r="T112" s="149"/>
      <c r="Z112" s="137">
        <f t="shared" si="9"/>
        <v>0</v>
      </c>
    </row>
    <row r="113" spans="1:29" s="122" customFormat="1" ht="27.75" customHeight="1">
      <c r="A113" s="218">
        <v>244</v>
      </c>
      <c r="B113" s="217"/>
      <c r="C113" s="1823" t="s">
        <v>668</v>
      </c>
      <c r="D113" s="1891"/>
      <c r="E113" s="1221"/>
      <c r="F113" s="1222">
        <f t="shared" si="10"/>
        <v>0</v>
      </c>
      <c r="G113" s="1882"/>
      <c r="H113" s="1883"/>
      <c r="I113" s="1221"/>
      <c r="J113" s="1222">
        <f t="shared" si="11"/>
        <v>0</v>
      </c>
      <c r="K113" s="1882"/>
      <c r="L113" s="1883"/>
      <c r="M113" s="1221"/>
      <c r="N113" s="1222">
        <f t="shared" si="12"/>
        <v>0</v>
      </c>
      <c r="O113" s="1882"/>
      <c r="P113" s="1883"/>
      <c r="Q113" s="266"/>
      <c r="R113" s="266"/>
      <c r="S113" s="266"/>
      <c r="T113" s="149"/>
      <c r="Z113" s="137">
        <f t="shared" si="9"/>
        <v>0</v>
      </c>
    </row>
    <row r="114" spans="1:29" s="122" customFormat="1" ht="27.75" customHeight="1">
      <c r="A114" s="218">
        <v>244</v>
      </c>
      <c r="B114" s="217"/>
      <c r="C114" s="1823" t="s">
        <v>669</v>
      </c>
      <c r="D114" s="1891"/>
      <c r="E114" s="1221"/>
      <c r="F114" s="1222">
        <f t="shared" si="10"/>
        <v>0</v>
      </c>
      <c r="G114" s="1882"/>
      <c r="H114" s="1883"/>
      <c r="I114" s="1221"/>
      <c r="J114" s="1222">
        <f t="shared" si="11"/>
        <v>0</v>
      </c>
      <c r="K114" s="1882"/>
      <c r="L114" s="1883"/>
      <c r="M114" s="1221"/>
      <c r="N114" s="1222">
        <f>IFERROR(ROUND(O114/M114,2),0)</f>
        <v>0</v>
      </c>
      <c r="O114" s="1882"/>
      <c r="P114" s="1883"/>
      <c r="Q114" s="266"/>
      <c r="R114" s="266"/>
      <c r="S114" s="266"/>
      <c r="T114" s="149"/>
      <c r="Z114" s="137">
        <f t="shared" si="9"/>
        <v>0</v>
      </c>
    </row>
    <row r="115" spans="1:29" s="122" customFormat="1" ht="27.75" customHeight="1">
      <c r="A115" s="218">
        <v>244</v>
      </c>
      <c r="B115" s="217"/>
      <c r="C115" s="1823" t="s">
        <v>671</v>
      </c>
      <c r="D115" s="1891"/>
      <c r="E115" s="1221"/>
      <c r="F115" s="1222">
        <f t="shared" si="10"/>
        <v>0</v>
      </c>
      <c r="G115" s="1882"/>
      <c r="H115" s="1883"/>
      <c r="I115" s="1221"/>
      <c r="J115" s="1222">
        <f t="shared" si="11"/>
        <v>0</v>
      </c>
      <c r="K115" s="1882"/>
      <c r="L115" s="1883"/>
      <c r="M115" s="1221"/>
      <c r="N115" s="1222">
        <f t="shared" si="12"/>
        <v>0</v>
      </c>
      <c r="O115" s="1882"/>
      <c r="P115" s="1883"/>
      <c r="Q115" s="266"/>
      <c r="R115" s="266"/>
      <c r="S115" s="266"/>
      <c r="T115" s="149"/>
      <c r="Z115" s="137">
        <f t="shared" si="9"/>
        <v>0</v>
      </c>
    </row>
    <row r="116" spans="1:29" s="122" customFormat="1" ht="27.75" customHeight="1">
      <c r="A116" s="218">
        <v>244</v>
      </c>
      <c r="B116" s="217"/>
      <c r="C116" s="1823" t="s">
        <v>672</v>
      </c>
      <c r="D116" s="1891"/>
      <c r="E116" s="1221"/>
      <c r="F116" s="1222">
        <f t="shared" si="10"/>
        <v>0</v>
      </c>
      <c r="G116" s="1638"/>
      <c r="H116" s="1641"/>
      <c r="I116" s="1221"/>
      <c r="J116" s="1222">
        <f t="shared" si="11"/>
        <v>0</v>
      </c>
      <c r="K116" s="1882"/>
      <c r="L116" s="1883"/>
      <c r="M116" s="1221"/>
      <c r="N116" s="1222">
        <f t="shared" si="12"/>
        <v>0</v>
      </c>
      <c r="O116" s="1882"/>
      <c r="P116" s="1883"/>
      <c r="Q116" s="266"/>
      <c r="R116" s="266"/>
      <c r="S116" s="266"/>
      <c r="T116" s="149"/>
      <c r="Z116" s="137">
        <f t="shared" si="9"/>
        <v>0</v>
      </c>
    </row>
    <row r="117" spans="1:29" s="122" customFormat="1" ht="27.75" customHeight="1">
      <c r="A117" s="218">
        <v>244</v>
      </c>
      <c r="B117" s="217"/>
      <c r="C117" s="1823" t="s">
        <v>673</v>
      </c>
      <c r="D117" s="1891"/>
      <c r="E117" s="1221"/>
      <c r="F117" s="1222">
        <f t="shared" si="10"/>
        <v>0</v>
      </c>
      <c r="G117" s="1882"/>
      <c r="H117" s="1883"/>
      <c r="I117" s="1221"/>
      <c r="J117" s="1222">
        <f t="shared" si="11"/>
        <v>0</v>
      </c>
      <c r="K117" s="1882"/>
      <c r="L117" s="1883"/>
      <c r="M117" s="1221"/>
      <c r="N117" s="1222">
        <f t="shared" si="12"/>
        <v>0</v>
      </c>
      <c r="O117" s="1882"/>
      <c r="P117" s="1883"/>
      <c r="Q117" s="266"/>
      <c r="R117" s="266"/>
      <c r="S117" s="266"/>
      <c r="T117" s="149"/>
      <c r="Z117" s="137">
        <f t="shared" si="9"/>
        <v>0</v>
      </c>
    </row>
    <row r="118" spans="1:29" s="122" customFormat="1" ht="27.75" customHeight="1">
      <c r="A118" s="218">
        <v>244</v>
      </c>
      <c r="B118" s="217"/>
      <c r="C118" s="1823" t="s">
        <v>675</v>
      </c>
      <c r="D118" s="1891"/>
      <c r="E118" s="1221"/>
      <c r="F118" s="1222">
        <f t="shared" si="10"/>
        <v>0</v>
      </c>
      <c r="G118" s="1882"/>
      <c r="H118" s="1883"/>
      <c r="I118" s="1221"/>
      <c r="J118" s="1222">
        <f t="shared" si="11"/>
        <v>0</v>
      </c>
      <c r="K118" s="1882"/>
      <c r="L118" s="1883"/>
      <c r="M118" s="1221"/>
      <c r="N118" s="1222">
        <f t="shared" si="12"/>
        <v>0</v>
      </c>
      <c r="O118" s="1882"/>
      <c r="P118" s="1883"/>
      <c r="Q118" s="266"/>
      <c r="R118" s="266"/>
      <c r="S118" s="266"/>
      <c r="T118" s="149"/>
      <c r="Z118" s="137">
        <f t="shared" si="9"/>
        <v>0</v>
      </c>
    </row>
    <row r="119" spans="1:29" s="122" customFormat="1" ht="27.75" customHeight="1">
      <c r="A119" s="218">
        <v>244</v>
      </c>
      <c r="B119" s="217"/>
      <c r="C119" s="1823" t="s">
        <v>1108</v>
      </c>
      <c r="D119" s="1891"/>
      <c r="E119" s="1221"/>
      <c r="F119" s="1222">
        <f t="shared" si="10"/>
        <v>0</v>
      </c>
      <c r="G119" s="1638"/>
      <c r="H119" s="1641"/>
      <c r="I119" s="1221"/>
      <c r="J119" s="1222">
        <f t="shared" si="11"/>
        <v>0</v>
      </c>
      <c r="K119" s="1882"/>
      <c r="L119" s="1883"/>
      <c r="M119" s="1221"/>
      <c r="N119" s="1222">
        <f t="shared" si="12"/>
        <v>0</v>
      </c>
      <c r="O119" s="1882"/>
      <c r="P119" s="1883"/>
      <c r="Q119" s="266"/>
      <c r="R119" s="266"/>
      <c r="S119" s="266"/>
      <c r="T119" s="149"/>
      <c r="Z119" s="137">
        <f t="shared" si="9"/>
        <v>0</v>
      </c>
    </row>
    <row r="120" spans="1:29" s="122" customFormat="1" ht="27.75" customHeight="1">
      <c r="A120" s="218">
        <v>244</v>
      </c>
      <c r="B120" s="217"/>
      <c r="C120" s="1823" t="s">
        <v>670</v>
      </c>
      <c r="D120" s="1891"/>
      <c r="E120" s="1221"/>
      <c r="F120" s="1222">
        <f t="shared" si="10"/>
        <v>0</v>
      </c>
      <c r="G120" s="1882"/>
      <c r="H120" s="1883"/>
      <c r="I120" s="1221"/>
      <c r="J120" s="1222">
        <f t="shared" si="11"/>
        <v>0</v>
      </c>
      <c r="K120" s="1882"/>
      <c r="L120" s="1883"/>
      <c r="M120" s="1221"/>
      <c r="N120" s="1222">
        <f t="shared" si="12"/>
        <v>0</v>
      </c>
      <c r="O120" s="1882"/>
      <c r="P120" s="1883"/>
      <c r="Q120" s="266"/>
      <c r="R120" s="266"/>
      <c r="S120" s="266"/>
      <c r="T120" s="149"/>
      <c r="Z120" s="137">
        <f t="shared" si="9"/>
        <v>0</v>
      </c>
    </row>
    <row r="121" spans="1:29" s="122" customFormat="1" ht="27.75" customHeight="1">
      <c r="A121" s="243">
        <v>244</v>
      </c>
      <c r="B121" s="246"/>
      <c r="C121" s="1819" t="s">
        <v>674</v>
      </c>
      <c r="D121" s="1915"/>
      <c r="E121" s="849"/>
      <c r="F121" s="702">
        <f t="shared" si="10"/>
        <v>0</v>
      </c>
      <c r="G121" s="1705">
        <f>G122-SUM(G107:H120)</f>
        <v>80885.599999999991</v>
      </c>
      <c r="H121" s="1712"/>
      <c r="I121" s="742"/>
      <c r="J121" s="738">
        <f t="shared" si="11"/>
        <v>0</v>
      </c>
      <c r="K121" s="1705">
        <f>K122-SUM(K107:L120)</f>
        <v>96334.2</v>
      </c>
      <c r="L121" s="1712"/>
      <c r="M121" s="742"/>
      <c r="N121" s="738">
        <f t="shared" si="12"/>
        <v>0</v>
      </c>
      <c r="O121" s="1705">
        <f>O122-SUM(O107:P120)</f>
        <v>96334.2</v>
      </c>
      <c r="P121" s="1712"/>
      <c r="Q121" s="266"/>
      <c r="R121" s="266"/>
      <c r="S121" s="266"/>
      <c r="T121" s="149"/>
      <c r="Z121" s="137">
        <f t="shared" si="9"/>
        <v>0</v>
      </c>
    </row>
    <row r="122" spans="1:29" s="267" customFormat="1" ht="27.75" customHeight="1">
      <c r="A122" s="263"/>
      <c r="B122" s="265"/>
      <c r="C122" s="1897" t="s">
        <v>554</v>
      </c>
      <c r="D122" s="1898"/>
      <c r="E122" s="736" t="s">
        <v>412</v>
      </c>
      <c r="F122" s="734" t="s">
        <v>412</v>
      </c>
      <c r="G122" s="1667">
        <f>SUMIFS(Титульный!$O$69:$O$292,Титульный!$K$69:$K$292,'КФО 5'!$Q122,Титульный!$L$69:$L$292,'КФО 5'!$R122,Титульный!$N$69:$N$292,'КФО 5'!$S122)</f>
        <v>80885.599999999991</v>
      </c>
      <c r="H122" s="1800">
        <f>SUMIFS(Титульный!$O$69:$O$292,Титульный!$K$69:$K$292,'КФО 5'!$Q122,Титульный!$L$69:$L$292,'КФО 5'!$R122,Титульный!$N$69:$N$292,'КФО 5'!$S122)</f>
        <v>80885.599999999991</v>
      </c>
      <c r="I122" s="736" t="s">
        <v>412</v>
      </c>
      <c r="J122" s="734" t="s">
        <v>412</v>
      </c>
      <c r="K122" s="1886">
        <f>SUMIFS(Титульный!$P$69:$P$292,
Титульный!$K$69:$K$292,'КФО 5'!$Q122,
Титульный!$L$69:$L$292,'КФО 5'!$R122,
Титульный!$N$69:$N$292,'КФО 5'!$S122)</f>
        <v>96334.2</v>
      </c>
      <c r="L122" s="1800">
        <f>SUMIFS(Титульный!$P$69:$P$292,
Титульный!$K$69:$K$292,'КФО 5'!$Q122,
Титульный!$L$69:$L$292,'КФО 5'!$R122,
Титульный!$N$69:$N$292,'КФО 5'!$S122)</f>
        <v>96334.2</v>
      </c>
      <c r="M122" s="718" t="s">
        <v>412</v>
      </c>
      <c r="N122" s="734" t="s">
        <v>412</v>
      </c>
      <c r="O122" s="1886">
        <f>SUMIFS(Титульный!$Q$69:$Q$292,
Титульный!$K$69:$K$292,'КФО 5'!$Q122,
Титульный!$L$69:$L$292,'КФО 5'!$R122,
Титульный!$N$69:$N$292,'КФО 5'!$S122)</f>
        <v>96334.2</v>
      </c>
      <c r="P122" s="1800">
        <f>SUMIFS(Титульный!$Q$69:$Q$292,
Титульный!$K$69:$K$292,'КФО 5'!$Q122,
Титульный!$L$69:$L$292,'КФО 5'!$R122,
Титульный!$N$69:$N$292,'КФО 5'!$S122)</f>
        <v>96334.2</v>
      </c>
      <c r="Q122" s="266">
        <v>5</v>
      </c>
      <c r="R122" s="266">
        <v>244</v>
      </c>
      <c r="S122" s="266">
        <v>226</v>
      </c>
      <c r="T122" s="266"/>
      <c r="Z122" s="137">
        <f t="shared" si="9"/>
        <v>0</v>
      </c>
    </row>
    <row r="123" spans="1:29" s="144" customFormat="1" ht="12" customHeight="1">
      <c r="B123" s="256"/>
      <c r="Q123" s="272"/>
      <c r="R123" s="272"/>
      <c r="S123" s="272"/>
      <c r="T123" s="146"/>
      <c r="Z123" s="137">
        <f t="shared" si="9"/>
        <v>0</v>
      </c>
    </row>
    <row r="124" spans="1:29" s="144" customFormat="1" ht="12" hidden="1" customHeight="1">
      <c r="B124" s="256"/>
      <c r="Q124" s="272"/>
      <c r="R124" s="272"/>
      <c r="S124" s="272"/>
      <c r="T124" s="146"/>
      <c r="Z124" s="137">
        <f t="shared" si="9"/>
        <v>0</v>
      </c>
    </row>
    <row r="125" spans="1:29" s="144" customFormat="1" ht="12" hidden="1" customHeight="1">
      <c r="B125" s="256"/>
      <c r="Q125" s="272"/>
      <c r="R125" s="272"/>
      <c r="S125" s="272"/>
      <c r="T125" s="146"/>
      <c r="Z125" s="137">
        <f t="shared" si="9"/>
        <v>0</v>
      </c>
    </row>
    <row r="126" spans="1:29" s="215" customFormat="1" ht="27.75" customHeight="1">
      <c r="A126" s="1643" t="s">
        <v>583</v>
      </c>
      <c r="B126" s="1643"/>
      <c r="C126" s="1643"/>
      <c r="D126" s="1643"/>
      <c r="E126" s="1643"/>
      <c r="F126" s="1643"/>
      <c r="G126" s="1643"/>
      <c r="H126" s="1643"/>
      <c r="I126" s="1643"/>
      <c r="J126" s="1643"/>
      <c r="K126" s="1643"/>
      <c r="L126" s="1643"/>
      <c r="M126" s="1643"/>
      <c r="N126" s="1643"/>
      <c r="O126" s="1643"/>
      <c r="P126" s="1643"/>
      <c r="Q126" s="266"/>
      <c r="R126" s="266"/>
      <c r="S126" s="266"/>
      <c r="T126" s="214"/>
      <c r="Z126" s="137">
        <f t="shared" si="9"/>
        <v>0</v>
      </c>
    </row>
    <row r="127" spans="1:29" s="144" customFormat="1" ht="12" customHeight="1">
      <c r="B127" s="256"/>
      <c r="Q127" s="272"/>
      <c r="R127" s="272"/>
      <c r="S127" s="272"/>
      <c r="T127" s="146"/>
      <c r="Z127" s="137">
        <f t="shared" si="9"/>
        <v>0</v>
      </c>
    </row>
    <row r="128" spans="1:29" s="144" customFormat="1" ht="15.75" customHeight="1">
      <c r="A128" s="1687" t="s">
        <v>541</v>
      </c>
      <c r="B128" s="1651" t="s">
        <v>430</v>
      </c>
      <c r="C128" s="1892" t="s">
        <v>553</v>
      </c>
      <c r="D128" s="1696"/>
      <c r="E128" s="1923" t="s">
        <v>496</v>
      </c>
      <c r="F128" s="1924"/>
      <c r="G128" s="1924"/>
      <c r="H128" s="1924"/>
      <c r="I128" s="1924"/>
      <c r="J128" s="1924"/>
      <c r="K128" s="1924"/>
      <c r="L128" s="1924"/>
      <c r="M128" s="1924"/>
      <c r="N128" s="1924"/>
      <c r="O128" s="1924"/>
      <c r="P128" s="1925"/>
      <c r="Q128" s="272"/>
      <c r="R128" s="272"/>
      <c r="S128" s="272"/>
      <c r="T128" s="146"/>
      <c r="Z128" s="137">
        <f t="shared" si="9"/>
        <v>0</v>
      </c>
      <c r="AA128" s="137">
        <f>SUM(E131:H133)-SUBTOTAL(109,E131:H133)</f>
        <v>0</v>
      </c>
      <c r="AB128" s="137">
        <f>SUM(I131:L133)-SUBTOTAL(109,I131:L133)</f>
        <v>0</v>
      </c>
      <c r="AC128" s="137">
        <f>SUM(M131:P133)-SUBTOTAL(109,M131:P133)</f>
        <v>0</v>
      </c>
    </row>
    <row r="129" spans="1:29" s="144" customFormat="1" ht="50.25" customHeight="1">
      <c r="A129" s="1688"/>
      <c r="B129" s="1684"/>
      <c r="C129" s="1847"/>
      <c r="D129" s="1698"/>
      <c r="E129" s="1858" t="s">
        <v>1114</v>
      </c>
      <c r="F129" s="1859"/>
      <c r="G129" s="1859"/>
      <c r="H129" s="1887"/>
      <c r="I129" s="1856" t="s">
        <v>1115</v>
      </c>
      <c r="J129" s="1854"/>
      <c r="K129" s="1854"/>
      <c r="L129" s="1855"/>
      <c r="M129" s="1853" t="s">
        <v>1116</v>
      </c>
      <c r="N129" s="1854"/>
      <c r="O129" s="1854"/>
      <c r="P129" s="1855"/>
      <c r="Q129" s="272"/>
      <c r="R129" s="272"/>
      <c r="S129" s="272"/>
      <c r="T129" s="146"/>
      <c r="Z129" s="137">
        <f t="shared" si="9"/>
        <v>0</v>
      </c>
    </row>
    <row r="130" spans="1:29" s="144" customFormat="1">
      <c r="A130" s="359" t="s">
        <v>6</v>
      </c>
      <c r="B130" s="362" t="s">
        <v>7</v>
      </c>
      <c r="C130" s="1653" t="s">
        <v>8</v>
      </c>
      <c r="D130" s="1654"/>
      <c r="E130" s="1916">
        <v>4</v>
      </c>
      <c r="F130" s="1917"/>
      <c r="G130" s="1917"/>
      <c r="H130" s="1896"/>
      <c r="I130" s="1665">
        <v>5</v>
      </c>
      <c r="J130" s="1653"/>
      <c r="K130" s="1653"/>
      <c r="L130" s="1654"/>
      <c r="M130" s="1680">
        <v>6</v>
      </c>
      <c r="N130" s="1653"/>
      <c r="O130" s="1653"/>
      <c r="P130" s="1654"/>
      <c r="Q130" s="272"/>
      <c r="R130" s="272"/>
      <c r="S130" s="272"/>
      <c r="T130" s="146"/>
      <c r="Z130" s="137">
        <f t="shared" si="9"/>
        <v>0</v>
      </c>
    </row>
    <row r="131" spans="1:29" s="122" customFormat="1" ht="27.75" customHeight="1">
      <c r="A131" s="236">
        <v>244</v>
      </c>
      <c r="B131" s="247"/>
      <c r="C131" s="1810" t="s">
        <v>852</v>
      </c>
      <c r="D131" s="1914"/>
      <c r="E131" s="1672">
        <v>0</v>
      </c>
      <c r="F131" s="1673"/>
      <c r="G131" s="1673"/>
      <c r="H131" s="1674"/>
      <c r="I131" s="1644">
        <v>0</v>
      </c>
      <c r="J131" s="1645"/>
      <c r="K131" s="1645"/>
      <c r="L131" s="1648"/>
      <c r="M131" s="1890">
        <v>0</v>
      </c>
      <c r="N131" s="1645"/>
      <c r="O131" s="1645"/>
      <c r="P131" s="1648"/>
      <c r="Q131" s="266"/>
      <c r="R131" s="266"/>
      <c r="S131" s="266"/>
      <c r="T131" s="149"/>
      <c r="Z131" s="137">
        <f t="shared" si="9"/>
        <v>0</v>
      </c>
    </row>
    <row r="132" spans="1:29" s="122" customFormat="1" ht="27.75" customHeight="1">
      <c r="A132" s="218"/>
      <c r="B132" s="217"/>
      <c r="C132" s="1823"/>
      <c r="D132" s="1891"/>
      <c r="E132" s="1918"/>
      <c r="F132" s="1919"/>
      <c r="G132" s="1919"/>
      <c r="H132" s="1883"/>
      <c r="I132" s="1637"/>
      <c r="J132" s="1638"/>
      <c r="K132" s="1638"/>
      <c r="L132" s="1641"/>
      <c r="M132" s="1710"/>
      <c r="N132" s="1638"/>
      <c r="O132" s="1638"/>
      <c r="P132" s="1641"/>
      <c r="Q132" s="266"/>
      <c r="R132" s="266"/>
      <c r="S132" s="266"/>
      <c r="T132" s="149"/>
      <c r="Z132" s="137">
        <f t="shared" si="9"/>
        <v>0</v>
      </c>
    </row>
    <row r="133" spans="1:29" s="122" customFormat="1" ht="27.75" customHeight="1">
      <c r="A133" s="240"/>
      <c r="B133" s="221"/>
      <c r="C133" s="1819"/>
      <c r="D133" s="1915"/>
      <c r="E133" s="1920"/>
      <c r="F133" s="1921"/>
      <c r="G133" s="1921"/>
      <c r="H133" s="1793"/>
      <c r="I133" s="1889"/>
      <c r="J133" s="1705"/>
      <c r="K133" s="1705"/>
      <c r="L133" s="1712"/>
      <c r="M133" s="1711"/>
      <c r="N133" s="1705"/>
      <c r="O133" s="1705"/>
      <c r="P133" s="1712"/>
      <c r="Q133" s="266"/>
      <c r="R133" s="266"/>
      <c r="S133" s="266"/>
      <c r="T133" s="149"/>
      <c r="Z133" s="137">
        <f t="shared" ref="Z133:Z164" si="13">SUM(AA133:AR133)</f>
        <v>0</v>
      </c>
    </row>
    <row r="134" spans="1:29" s="267" customFormat="1" ht="27.75" customHeight="1">
      <c r="A134" s="258"/>
      <c r="B134" s="261"/>
      <c r="C134" s="1798" t="s">
        <v>554</v>
      </c>
      <c r="D134" s="1922"/>
      <c r="E134" s="1926">
        <f>SUMIFS(Титульный!$O$69:$O$292,Титульный!$K$69:$K$292,'КФО 5'!$Q134,Титульный!$L$69:$L$292,'КФО 5'!$R134,Титульный!$N$69:$N$292,'КФО 5'!$S134)</f>
        <v>0</v>
      </c>
      <c r="F134" s="1707">
        <f>SUMIFS(Титульный!$O$69:$O$292,Титульный!$K$69:$K$292,'КФО 5'!$Q134,Титульный!$L$69:$L$292,'КФО 5'!$R134,Титульный!$N$69:$N$292,'КФО 5'!$S134)</f>
        <v>0</v>
      </c>
      <c r="G134" s="1707">
        <f>SUMIFS(Титульный!$O$69:$O$292,Титульный!$K$69:$K$292,'КФО 5'!$Q134,Титульный!$L$69:$L$292,'КФО 5'!$R134,Титульный!$N$69:$N$292,'КФО 5'!$S134)</f>
        <v>0</v>
      </c>
      <c r="H134" s="1721">
        <f>SUMIFS(Титульный!$O$69:$O$292,Титульный!$K$69:$K$292,'КФО 5'!$Q134,Титульный!$L$69:$L$292,'КФО 5'!$R134,Титульный!$N$69:$N$292,'КФО 5'!$S134)</f>
        <v>0</v>
      </c>
      <c r="I134" s="1666">
        <f>SUMIFS(Титульный!$O$69:$O$292,Титульный!$K$69:$K$292,'КФО 5'!$Q134,Титульный!$L$69:$L$292,'КФО 5'!$R134,Титульный!$N$69:$N$292,'КФО 5'!$S134)</f>
        <v>0</v>
      </c>
      <c r="J134" s="1667">
        <f>SUMIFS(Титульный!$O$69:$O$292,Титульный!$K$69:$K$292,'КФО 5'!$Q134,Титульный!$L$69:$L$292,'КФО 5'!$R134,Титульный!$N$69:$N$292,'КФО 5'!$S134)</f>
        <v>0</v>
      </c>
      <c r="K134" s="1667">
        <f>SUMIFS(Титульный!$O$69:$O$292,Титульный!$K$69:$K$292,'КФО 5'!$Q134,Титульный!$L$69:$L$292,'КФО 5'!$R134,Титульный!$N$69:$N$292,'КФО 5'!$S134)</f>
        <v>0</v>
      </c>
      <c r="L134" s="1800">
        <f>SUMIFS(Титульный!$O$69:$O$292,Титульный!$K$69:$K$292,'КФО 5'!$Q134,Титульный!$L$69:$L$292,'КФО 5'!$R134,Титульный!$N$69:$N$292,'КФО 5'!$S134)</f>
        <v>0</v>
      </c>
      <c r="M134" s="1668">
        <f>SUMIFS(Титульный!$O$69:$O$292,Титульный!$K$69:$K$292,'КФО 5'!$Q134,Титульный!$L$69:$L$292,'КФО 5'!$R134,Титульный!$N$69:$N$292,'КФО 5'!$S134)</f>
        <v>0</v>
      </c>
      <c r="N134" s="1667">
        <f>SUMIFS(Титульный!$O$69:$O$292,Титульный!$K$69:$K$292,'КФО 5'!$Q134,Титульный!$L$69:$L$292,'КФО 5'!$R134,Титульный!$N$69:$N$292,'КФО 5'!$S134)</f>
        <v>0</v>
      </c>
      <c r="O134" s="1667">
        <f>SUMIFS(Титульный!$O$69:$O$292,Титульный!$K$69:$K$292,'КФО 5'!$Q134,Титульный!$L$69:$L$292,'КФО 5'!$R134,Титульный!$N$69:$N$292,'КФО 5'!$S134)</f>
        <v>0</v>
      </c>
      <c r="P134" s="1800">
        <f>SUMIFS(Титульный!$O$69:$O$292,Титульный!$K$69:$K$292,'КФО 5'!$Q134,Титульный!$L$69:$L$292,'КФО 5'!$R134,Титульный!$N$69:$N$292,'КФО 5'!$S134)</f>
        <v>0</v>
      </c>
      <c r="Q134" s="266">
        <v>5</v>
      </c>
      <c r="R134" s="266">
        <v>244</v>
      </c>
      <c r="S134" s="266">
        <v>227</v>
      </c>
      <c r="T134" s="266"/>
      <c r="Z134" s="137">
        <f t="shared" si="13"/>
        <v>0</v>
      </c>
    </row>
    <row r="135" spans="1:29" s="144" customFormat="1" ht="12" customHeight="1">
      <c r="B135" s="256"/>
      <c r="Q135" s="272"/>
      <c r="R135" s="272"/>
      <c r="S135" s="272"/>
      <c r="T135" s="146"/>
      <c r="Z135" s="137">
        <f t="shared" si="13"/>
        <v>0</v>
      </c>
    </row>
    <row r="136" spans="1:29" s="144" customFormat="1" ht="12" hidden="1" customHeight="1">
      <c r="B136" s="256"/>
      <c r="Q136" s="272"/>
      <c r="R136" s="272"/>
      <c r="S136" s="272"/>
      <c r="T136" s="146"/>
      <c r="Z136" s="137">
        <f t="shared" si="13"/>
        <v>0</v>
      </c>
    </row>
    <row r="137" spans="1:29" s="144" customFormat="1" ht="12" hidden="1" customHeight="1">
      <c r="B137" s="256"/>
      <c r="Q137" s="272"/>
      <c r="R137" s="272"/>
      <c r="S137" s="272"/>
      <c r="T137" s="146"/>
      <c r="Z137" s="137">
        <f t="shared" si="13"/>
        <v>0</v>
      </c>
    </row>
    <row r="138" spans="1:29" s="215" customFormat="1" ht="27.75" customHeight="1">
      <c r="A138" s="1643" t="s">
        <v>584</v>
      </c>
      <c r="B138" s="1643"/>
      <c r="C138" s="1643"/>
      <c r="D138" s="1643"/>
      <c r="E138" s="1643"/>
      <c r="F138" s="1643"/>
      <c r="G138" s="1643"/>
      <c r="H138" s="1643"/>
      <c r="I138" s="1643"/>
      <c r="J138" s="1643"/>
      <c r="K138" s="1643"/>
      <c r="L138" s="1643"/>
      <c r="M138" s="1643"/>
      <c r="N138" s="1643"/>
      <c r="O138" s="1643"/>
      <c r="P138" s="1643"/>
      <c r="Q138" s="266"/>
      <c r="R138" s="266"/>
      <c r="S138" s="266"/>
      <c r="T138" s="214"/>
      <c r="Z138" s="137">
        <f t="shared" si="13"/>
        <v>0</v>
      </c>
    </row>
    <row r="139" spans="1:29" s="144" customFormat="1" ht="12" customHeight="1">
      <c r="B139" s="256"/>
      <c r="Q139" s="272"/>
      <c r="R139" s="272"/>
      <c r="S139" s="272"/>
      <c r="T139" s="146"/>
      <c r="Z139" s="137">
        <f t="shared" si="13"/>
        <v>0</v>
      </c>
    </row>
    <row r="140" spans="1:29" s="144" customFormat="1" ht="33.75" customHeight="1">
      <c r="A140" s="1687" t="s">
        <v>541</v>
      </c>
      <c r="B140" s="1651" t="s">
        <v>430</v>
      </c>
      <c r="C140" s="1892" t="s">
        <v>553</v>
      </c>
      <c r="D140" s="1696"/>
      <c r="E140" s="1858" t="s">
        <v>1114</v>
      </c>
      <c r="F140" s="1859"/>
      <c r="G140" s="1859"/>
      <c r="H140" s="1887"/>
      <c r="I140" s="1856" t="s">
        <v>1115</v>
      </c>
      <c r="J140" s="1854"/>
      <c r="K140" s="1854"/>
      <c r="L140" s="1855"/>
      <c r="M140" s="1853" t="s">
        <v>1116</v>
      </c>
      <c r="N140" s="1854"/>
      <c r="O140" s="1854"/>
      <c r="P140" s="1855"/>
      <c r="Q140" s="272"/>
      <c r="R140" s="272"/>
      <c r="S140" s="272"/>
      <c r="T140" s="146"/>
      <c r="Z140" s="137">
        <f t="shared" si="13"/>
        <v>0</v>
      </c>
      <c r="AA140" s="137">
        <f>SUM(G143:H145)-SUBTOTAL(109,G143:H145)</f>
        <v>0</v>
      </c>
      <c r="AB140" s="137">
        <f>SUM(K143:L145)-SUBTOTAL(109,K143:L145)</f>
        <v>0</v>
      </c>
      <c r="AC140" s="137">
        <f>SUM(O143:P145)-SUBTOTAL(109,O143:P145)</f>
        <v>0</v>
      </c>
    </row>
    <row r="141" spans="1:29" s="144" customFormat="1" ht="38.25">
      <c r="A141" s="1688"/>
      <c r="B141" s="1684"/>
      <c r="C141" s="1847"/>
      <c r="D141" s="1698"/>
      <c r="E141" s="169" t="s">
        <v>578</v>
      </c>
      <c r="F141" s="171" t="s">
        <v>579</v>
      </c>
      <c r="G141" s="1888" t="s">
        <v>496</v>
      </c>
      <c r="H141" s="1839"/>
      <c r="I141" s="169" t="s">
        <v>578</v>
      </c>
      <c r="J141" s="171" t="s">
        <v>579</v>
      </c>
      <c r="K141" s="1888" t="s">
        <v>496</v>
      </c>
      <c r="L141" s="1839"/>
      <c r="M141" s="169" t="s">
        <v>578</v>
      </c>
      <c r="N141" s="171" t="s">
        <v>579</v>
      </c>
      <c r="O141" s="1888" t="s">
        <v>496</v>
      </c>
      <c r="P141" s="1839"/>
      <c r="Q141" s="272"/>
      <c r="R141" s="272"/>
      <c r="S141" s="272"/>
      <c r="T141" s="146"/>
      <c r="Z141" s="137">
        <f t="shared" si="13"/>
        <v>0</v>
      </c>
    </row>
    <row r="142" spans="1:29" s="144" customFormat="1">
      <c r="A142" s="360" t="s">
        <v>6</v>
      </c>
      <c r="B142" s="208" t="s">
        <v>7</v>
      </c>
      <c r="C142" s="1653" t="s">
        <v>8</v>
      </c>
      <c r="D142" s="1654"/>
      <c r="E142" s="189">
        <v>4</v>
      </c>
      <c r="F142" s="168">
        <v>5</v>
      </c>
      <c r="G142" s="1653" t="s">
        <v>716</v>
      </c>
      <c r="H142" s="1654"/>
      <c r="I142" s="189">
        <v>7</v>
      </c>
      <c r="J142" s="168">
        <v>8</v>
      </c>
      <c r="K142" s="1653" t="s">
        <v>717</v>
      </c>
      <c r="L142" s="1654"/>
      <c r="M142" s="189" t="s">
        <v>413</v>
      </c>
      <c r="N142" s="168" t="s">
        <v>418</v>
      </c>
      <c r="O142" s="1653" t="s">
        <v>499</v>
      </c>
      <c r="P142" s="1654"/>
      <c r="Q142" s="272"/>
      <c r="R142" s="272"/>
      <c r="S142" s="272"/>
      <c r="T142" s="146"/>
      <c r="Z142" s="137">
        <f t="shared" si="13"/>
        <v>0</v>
      </c>
    </row>
    <row r="143" spans="1:29" s="122" customFormat="1" ht="27.75" customHeight="1">
      <c r="A143" s="225"/>
      <c r="B143" s="226"/>
      <c r="C143" s="1810"/>
      <c r="D143" s="1914"/>
      <c r="E143" s="723"/>
      <c r="F143" s="716">
        <f t="shared" ref="F143:F145" si="14">IFERROR(ROUND(G143/E143,2),0)</f>
        <v>0</v>
      </c>
      <c r="G143" s="1638">
        <f>G146</f>
        <v>0</v>
      </c>
      <c r="H143" s="1641"/>
      <c r="I143" s="723"/>
      <c r="J143" s="716">
        <f t="shared" ref="J143:J145" si="15">IFERROR(ROUND(K143/I143,2),0)</f>
        <v>0</v>
      </c>
      <c r="K143" s="1638">
        <f>K146</f>
        <v>0</v>
      </c>
      <c r="L143" s="1641"/>
      <c r="M143" s="723"/>
      <c r="N143" s="716">
        <f t="shared" ref="N143:N145" si="16">IFERROR(ROUND(O143/M143,2),0)</f>
        <v>0</v>
      </c>
      <c r="O143" s="1638">
        <f>O146</f>
        <v>0</v>
      </c>
      <c r="P143" s="1641"/>
      <c r="Q143" s="266"/>
      <c r="R143" s="266"/>
      <c r="S143" s="266"/>
      <c r="T143" s="149"/>
      <c r="Z143" s="137">
        <f t="shared" si="13"/>
        <v>0</v>
      </c>
    </row>
    <row r="144" spans="1:29" s="122" customFormat="1" ht="27.75" customHeight="1">
      <c r="A144" s="218"/>
      <c r="B144" s="217"/>
      <c r="C144" s="1823"/>
      <c r="D144" s="1891"/>
      <c r="E144" s="723"/>
      <c r="F144" s="716">
        <f t="shared" si="14"/>
        <v>0</v>
      </c>
      <c r="G144" s="1638"/>
      <c r="H144" s="1641"/>
      <c r="I144" s="723"/>
      <c r="J144" s="716">
        <f t="shared" si="15"/>
        <v>0</v>
      </c>
      <c r="K144" s="1638"/>
      <c r="L144" s="1641"/>
      <c r="M144" s="723"/>
      <c r="N144" s="716">
        <f t="shared" si="16"/>
        <v>0</v>
      </c>
      <c r="O144" s="1638"/>
      <c r="P144" s="1641"/>
      <c r="Q144" s="266"/>
      <c r="R144" s="266"/>
      <c r="S144" s="266"/>
      <c r="T144" s="149"/>
      <c r="Z144" s="137">
        <f t="shared" si="13"/>
        <v>0</v>
      </c>
    </row>
    <row r="145" spans="1:29" s="122" customFormat="1" ht="27.75" customHeight="1">
      <c r="A145" s="231"/>
      <c r="B145" s="246"/>
      <c r="C145" s="1819"/>
      <c r="D145" s="1915"/>
      <c r="E145" s="742"/>
      <c r="F145" s="738">
        <f t="shared" si="14"/>
        <v>0</v>
      </c>
      <c r="G145" s="1705"/>
      <c r="H145" s="1712"/>
      <c r="I145" s="742"/>
      <c r="J145" s="738">
        <f t="shared" si="15"/>
        <v>0</v>
      </c>
      <c r="K145" s="1705"/>
      <c r="L145" s="1712"/>
      <c r="M145" s="742"/>
      <c r="N145" s="738">
        <f t="shared" si="16"/>
        <v>0</v>
      </c>
      <c r="O145" s="1705"/>
      <c r="P145" s="1712"/>
      <c r="Q145" s="266"/>
      <c r="R145" s="266"/>
      <c r="S145" s="266"/>
      <c r="T145" s="149"/>
      <c r="Z145" s="137">
        <f t="shared" si="13"/>
        <v>0</v>
      </c>
    </row>
    <row r="146" spans="1:29" s="267" customFormat="1" ht="27.75" customHeight="1">
      <c r="A146" s="263"/>
      <c r="B146" s="265"/>
      <c r="C146" s="1897" t="s">
        <v>554</v>
      </c>
      <c r="D146" s="1898"/>
      <c r="E146" s="736" t="s">
        <v>412</v>
      </c>
      <c r="F146" s="734" t="s">
        <v>412</v>
      </c>
      <c r="G146" s="1667">
        <f>SUMIFS(Титульный!$O$69:$O$292,Титульный!$K$69:$K$292,'КФО 5'!$Q146,Титульный!$L$69:$L$292,'КФО 5'!$R146,Титульный!$N$69:$N$292,'КФО 5'!$S146)</f>
        <v>0</v>
      </c>
      <c r="H146" s="1800">
        <f>SUMIFS(Титульный!$O$69:$O$292,Титульный!$K$69:$K$292,'КФО 5'!$Q146,Титульный!$L$69:$L$292,'КФО 5'!$R146,Титульный!$N$69:$N$292,'КФО 5'!$S146)</f>
        <v>0</v>
      </c>
      <c r="I146" s="736" t="s">
        <v>412</v>
      </c>
      <c r="J146" s="734" t="s">
        <v>412</v>
      </c>
      <c r="K146" s="1886">
        <f>SUMIFS(Титульный!$P$69:$P$292,
Титульный!$K$69:$K$292,'КФО 5'!$Q146,
Титульный!$L$69:$L$292,'КФО 5'!$R146,
Титульный!$N$69:$N$292,'КФО 5'!$S146)</f>
        <v>0</v>
      </c>
      <c r="L146" s="1800">
        <f>SUMIFS(Титульный!$P$69:$P$292,
Титульный!$K$69:$K$292,'КФО 5'!$Q146,
Титульный!$L$69:$L$292,'КФО 5'!$R146,
Титульный!$N$69:$N$292,'КФО 5'!$S146)</f>
        <v>0</v>
      </c>
      <c r="M146" s="736" t="s">
        <v>412</v>
      </c>
      <c r="N146" s="734" t="s">
        <v>412</v>
      </c>
      <c r="O146" s="1886">
        <f>SUMIFS(Титульный!$Q$69:$Q$292,
Титульный!$K$69:$K$292,'КФО 5'!$Q146,
Титульный!$L$69:$L$292,'КФО 5'!$R146,
Титульный!$N$69:$N$292,'КФО 5'!$S146)</f>
        <v>0</v>
      </c>
      <c r="P146" s="1800">
        <f>SUMIFS(Титульный!$Q$69:$Q$292,
Титульный!$K$69:$K$292,'КФО 5'!$Q146,
Титульный!$L$69:$L$292,'КФО 5'!$R146,
Титульный!$N$69:$N$292,'КФО 5'!$S146)</f>
        <v>0</v>
      </c>
      <c r="Q146" s="266">
        <v>5</v>
      </c>
      <c r="R146" s="266">
        <v>244</v>
      </c>
      <c r="S146" s="266">
        <v>228</v>
      </c>
      <c r="T146" s="266"/>
      <c r="Z146" s="137">
        <f t="shared" si="13"/>
        <v>0</v>
      </c>
    </row>
    <row r="147" spans="1:29" s="144" customFormat="1" ht="12" customHeight="1">
      <c r="B147" s="256"/>
      <c r="Q147" s="272"/>
      <c r="R147" s="272"/>
      <c r="S147" s="272"/>
      <c r="T147" s="146"/>
      <c r="Z147" s="137">
        <f t="shared" si="13"/>
        <v>0</v>
      </c>
    </row>
    <row r="148" spans="1:29" s="144" customFormat="1" ht="12" hidden="1" customHeight="1">
      <c r="B148" s="256"/>
      <c r="Q148" s="272"/>
      <c r="R148" s="272"/>
      <c r="S148" s="272"/>
      <c r="T148" s="146"/>
      <c r="Z148" s="137">
        <f t="shared" si="13"/>
        <v>0</v>
      </c>
    </row>
    <row r="149" spans="1:29" s="144" customFormat="1" ht="12" hidden="1" customHeight="1">
      <c r="B149" s="256"/>
      <c r="Q149" s="272"/>
      <c r="R149" s="272"/>
      <c r="S149" s="272"/>
      <c r="T149" s="146"/>
      <c r="Z149" s="137">
        <f t="shared" si="13"/>
        <v>0</v>
      </c>
    </row>
    <row r="150" spans="1:29" s="215" customFormat="1" ht="27.75" customHeight="1">
      <c r="A150" s="1643" t="s">
        <v>585</v>
      </c>
      <c r="B150" s="1643"/>
      <c r="C150" s="1643"/>
      <c r="D150" s="1643"/>
      <c r="E150" s="1643"/>
      <c r="F150" s="1643"/>
      <c r="G150" s="1643"/>
      <c r="H150" s="1643"/>
      <c r="I150" s="1643"/>
      <c r="J150" s="1643"/>
      <c r="K150" s="1643"/>
      <c r="L150" s="1643"/>
      <c r="M150" s="1643"/>
      <c r="N150" s="1643"/>
      <c r="O150" s="1643"/>
      <c r="P150" s="1643"/>
      <c r="Q150" s="266"/>
      <c r="R150" s="266"/>
      <c r="S150" s="266"/>
      <c r="T150" s="214"/>
      <c r="Z150" s="137">
        <f t="shared" si="13"/>
        <v>0</v>
      </c>
    </row>
    <row r="151" spans="1:29" s="195" customFormat="1" ht="12" customHeight="1">
      <c r="B151" s="256"/>
      <c r="Q151" s="272"/>
      <c r="R151" s="272"/>
      <c r="S151" s="272"/>
      <c r="T151" s="146"/>
      <c r="Z151" s="137">
        <f t="shared" si="13"/>
        <v>0</v>
      </c>
    </row>
    <row r="152" spans="1:29" s="195" customFormat="1" ht="33" customHeight="1">
      <c r="A152" s="1687" t="s">
        <v>541</v>
      </c>
      <c r="B152" s="1651" t="s">
        <v>430</v>
      </c>
      <c r="C152" s="1892" t="s">
        <v>553</v>
      </c>
      <c r="D152" s="1696"/>
      <c r="E152" s="1858" t="s">
        <v>1114</v>
      </c>
      <c r="F152" s="1859"/>
      <c r="G152" s="1859"/>
      <c r="H152" s="1887"/>
      <c r="I152" s="1856" t="s">
        <v>1115</v>
      </c>
      <c r="J152" s="1854"/>
      <c r="K152" s="1854"/>
      <c r="L152" s="1855"/>
      <c r="M152" s="1853" t="s">
        <v>1116</v>
      </c>
      <c r="N152" s="1854"/>
      <c r="O152" s="1854"/>
      <c r="P152" s="1855"/>
      <c r="Q152" s="272"/>
      <c r="R152" s="272"/>
      <c r="S152" s="272"/>
      <c r="T152" s="146"/>
      <c r="Z152" s="137">
        <f t="shared" si="13"/>
        <v>0</v>
      </c>
      <c r="AA152" s="137">
        <f>SUM(G155:H163)-SUBTOTAL(109,G155:H163)</f>
        <v>0</v>
      </c>
      <c r="AB152" s="137">
        <f>SUM(K155:L163)-SUBTOTAL(109,K155:L163)</f>
        <v>0</v>
      </c>
      <c r="AC152" s="137">
        <f>SUM(O155:P163)-SUBTOTAL(109,O155:P163)</f>
        <v>0</v>
      </c>
    </row>
    <row r="153" spans="1:29" s="195" customFormat="1" ht="38.25">
      <c r="A153" s="1688"/>
      <c r="B153" s="1684"/>
      <c r="C153" s="1847"/>
      <c r="D153" s="1698"/>
      <c r="E153" s="169" t="s">
        <v>729</v>
      </c>
      <c r="F153" s="201" t="s">
        <v>730</v>
      </c>
      <c r="G153" s="1888" t="s">
        <v>496</v>
      </c>
      <c r="H153" s="1839"/>
      <c r="I153" s="169" t="s">
        <v>729</v>
      </c>
      <c r="J153" s="201" t="s">
        <v>730</v>
      </c>
      <c r="K153" s="1888" t="s">
        <v>496</v>
      </c>
      <c r="L153" s="1839"/>
      <c r="M153" s="169" t="s">
        <v>729</v>
      </c>
      <c r="N153" s="201" t="s">
        <v>730</v>
      </c>
      <c r="O153" s="1888" t="s">
        <v>496</v>
      </c>
      <c r="P153" s="1839"/>
      <c r="Q153" s="272"/>
      <c r="R153" s="272"/>
      <c r="S153" s="272"/>
      <c r="T153" s="146"/>
      <c r="Z153" s="137">
        <f t="shared" si="13"/>
        <v>0</v>
      </c>
    </row>
    <row r="154" spans="1:29" s="195" customFormat="1">
      <c r="A154" s="157" t="s">
        <v>6</v>
      </c>
      <c r="B154" s="366" t="s">
        <v>7</v>
      </c>
      <c r="C154" s="1653" t="s">
        <v>8</v>
      </c>
      <c r="D154" s="1654"/>
      <c r="E154" s="189">
        <v>4</v>
      </c>
      <c r="F154" s="168">
        <v>5</v>
      </c>
      <c r="G154" s="1653" t="s">
        <v>716</v>
      </c>
      <c r="H154" s="1654"/>
      <c r="I154" s="189">
        <v>7</v>
      </c>
      <c r="J154" s="168">
        <v>8</v>
      </c>
      <c r="K154" s="1653" t="s">
        <v>717</v>
      </c>
      <c r="L154" s="1654"/>
      <c r="M154" s="189" t="s">
        <v>413</v>
      </c>
      <c r="N154" s="168" t="s">
        <v>418</v>
      </c>
      <c r="O154" s="1653" t="s">
        <v>499</v>
      </c>
      <c r="P154" s="1654"/>
      <c r="Q154" s="272"/>
      <c r="R154" s="272"/>
      <c r="S154" s="272"/>
      <c r="T154" s="146"/>
      <c r="Z154" s="137">
        <f t="shared" si="13"/>
        <v>0</v>
      </c>
    </row>
    <row r="155" spans="1:29" s="122" customFormat="1" ht="27.75" customHeight="1">
      <c r="A155" s="225">
        <v>244</v>
      </c>
      <c r="B155" s="226"/>
      <c r="C155" s="1810" t="s">
        <v>676</v>
      </c>
      <c r="D155" s="1914"/>
      <c r="E155" s="723"/>
      <c r="F155" s="716">
        <f t="shared" ref="F155:F163" si="17">IFERROR(ROUND(G155/E155,2),0)</f>
        <v>0</v>
      </c>
      <c r="G155" s="1791"/>
      <c r="H155" s="1674"/>
      <c r="I155" s="723"/>
      <c r="J155" s="716">
        <f t="shared" ref="J155:J163" si="18">IFERROR(ROUND(K155/I155,2),0)</f>
        <v>0</v>
      </c>
      <c r="K155" s="1638"/>
      <c r="L155" s="1641"/>
      <c r="M155" s="723"/>
      <c r="N155" s="716">
        <f t="shared" ref="N155:N163" si="19">IFERROR(ROUND(O155/M155,2),0)</f>
        <v>0</v>
      </c>
      <c r="O155" s="1638"/>
      <c r="P155" s="1641"/>
      <c r="Q155" s="266"/>
      <c r="R155" s="266"/>
      <c r="S155" s="266"/>
      <c r="T155" s="149"/>
      <c r="Z155" s="137">
        <f t="shared" si="13"/>
        <v>0</v>
      </c>
    </row>
    <row r="156" spans="1:29" s="122" customFormat="1" ht="27.75" customHeight="1">
      <c r="A156" s="218">
        <v>244</v>
      </c>
      <c r="B156" s="217"/>
      <c r="C156" s="1810" t="s">
        <v>677</v>
      </c>
      <c r="D156" s="1914"/>
      <c r="E156" s="1221"/>
      <c r="F156" s="1222">
        <f t="shared" si="17"/>
        <v>0</v>
      </c>
      <c r="G156" s="1882"/>
      <c r="H156" s="1883"/>
      <c r="I156" s="723"/>
      <c r="J156" s="716">
        <f t="shared" si="18"/>
        <v>0</v>
      </c>
      <c r="K156" s="1882"/>
      <c r="L156" s="1883"/>
      <c r="M156" s="723"/>
      <c r="N156" s="716">
        <f t="shared" si="19"/>
        <v>0</v>
      </c>
      <c r="O156" s="1882"/>
      <c r="P156" s="1883"/>
      <c r="Q156" s="266"/>
      <c r="R156" s="266"/>
      <c r="S156" s="266"/>
      <c r="T156" s="149"/>
      <c r="Z156" s="137">
        <f t="shared" si="13"/>
        <v>0</v>
      </c>
    </row>
    <row r="157" spans="1:29" s="122" customFormat="1" ht="27.75" customHeight="1">
      <c r="A157" s="218">
        <v>244</v>
      </c>
      <c r="B157" s="217"/>
      <c r="C157" s="1810" t="s">
        <v>678</v>
      </c>
      <c r="D157" s="1914"/>
      <c r="E157" s="723"/>
      <c r="F157" s="716">
        <f t="shared" si="17"/>
        <v>0</v>
      </c>
      <c r="G157" s="1882"/>
      <c r="H157" s="1883"/>
      <c r="I157" s="723"/>
      <c r="J157" s="716">
        <f t="shared" si="18"/>
        <v>0</v>
      </c>
      <c r="K157" s="1882"/>
      <c r="L157" s="1883"/>
      <c r="M157" s="723"/>
      <c r="N157" s="716">
        <f t="shared" si="19"/>
        <v>0</v>
      </c>
      <c r="O157" s="1882"/>
      <c r="P157" s="1883"/>
      <c r="Q157" s="266"/>
      <c r="R157" s="266"/>
      <c r="S157" s="266"/>
      <c r="T157" s="149"/>
      <c r="Z157" s="137">
        <f t="shared" si="13"/>
        <v>0</v>
      </c>
    </row>
    <row r="158" spans="1:29" s="122" customFormat="1" ht="27.75" customHeight="1">
      <c r="A158" s="218">
        <v>244</v>
      </c>
      <c r="B158" s="217"/>
      <c r="C158" s="1810" t="s">
        <v>679</v>
      </c>
      <c r="D158" s="1914"/>
      <c r="E158" s="723"/>
      <c r="F158" s="716">
        <f t="shared" si="17"/>
        <v>0</v>
      </c>
      <c r="G158" s="1882"/>
      <c r="H158" s="1883"/>
      <c r="I158" s="723"/>
      <c r="J158" s="716">
        <f t="shared" si="18"/>
        <v>0</v>
      </c>
      <c r="K158" s="1882"/>
      <c r="L158" s="1883"/>
      <c r="M158" s="723"/>
      <c r="N158" s="716">
        <f t="shared" si="19"/>
        <v>0</v>
      </c>
      <c r="O158" s="1882"/>
      <c r="P158" s="1883"/>
      <c r="Q158" s="266"/>
      <c r="R158" s="266"/>
      <c r="S158" s="266"/>
      <c r="T158" s="149"/>
      <c r="Z158" s="137">
        <f t="shared" si="13"/>
        <v>0</v>
      </c>
    </row>
    <row r="159" spans="1:29" s="122" customFormat="1" ht="27.75" customHeight="1">
      <c r="A159" s="218">
        <v>244</v>
      </c>
      <c r="B159" s="217"/>
      <c r="C159" s="1810" t="s">
        <v>680</v>
      </c>
      <c r="D159" s="1914"/>
      <c r="E159" s="723"/>
      <c r="F159" s="716">
        <f t="shared" si="17"/>
        <v>0</v>
      </c>
      <c r="G159" s="1882"/>
      <c r="H159" s="1883"/>
      <c r="I159" s="723"/>
      <c r="J159" s="716">
        <f t="shared" si="18"/>
        <v>0</v>
      </c>
      <c r="K159" s="1882"/>
      <c r="L159" s="1883"/>
      <c r="M159" s="723"/>
      <c r="N159" s="716">
        <f t="shared" si="19"/>
        <v>0</v>
      </c>
      <c r="O159" s="1882"/>
      <c r="P159" s="1883"/>
      <c r="Q159" s="266"/>
      <c r="R159" s="266"/>
      <c r="S159" s="266"/>
      <c r="T159" s="149"/>
      <c r="Z159" s="137">
        <f t="shared" si="13"/>
        <v>0</v>
      </c>
    </row>
    <row r="160" spans="1:29" s="122" customFormat="1" ht="27.75" customHeight="1">
      <c r="A160" s="218">
        <v>244</v>
      </c>
      <c r="B160" s="217"/>
      <c r="C160" s="1810" t="s">
        <v>681</v>
      </c>
      <c r="D160" s="1914"/>
      <c r="E160" s="723"/>
      <c r="F160" s="716">
        <f t="shared" si="17"/>
        <v>0</v>
      </c>
      <c r="G160" s="1882"/>
      <c r="H160" s="1883"/>
      <c r="I160" s="723"/>
      <c r="J160" s="716">
        <f t="shared" si="18"/>
        <v>0</v>
      </c>
      <c r="K160" s="1882"/>
      <c r="L160" s="1883"/>
      <c r="M160" s="723"/>
      <c r="N160" s="716">
        <f t="shared" si="19"/>
        <v>0</v>
      </c>
      <c r="O160" s="1882"/>
      <c r="P160" s="1883"/>
      <c r="Q160" s="266"/>
      <c r="R160" s="266"/>
      <c r="S160" s="266"/>
      <c r="T160" s="149"/>
      <c r="Z160" s="137">
        <f t="shared" si="13"/>
        <v>0</v>
      </c>
    </row>
    <row r="161" spans="1:29" s="122" customFormat="1" ht="27.75" customHeight="1">
      <c r="A161" s="218">
        <v>244</v>
      </c>
      <c r="B161" s="217"/>
      <c r="C161" s="1810" t="s">
        <v>682</v>
      </c>
      <c r="D161" s="1914"/>
      <c r="E161" s="723"/>
      <c r="F161" s="716">
        <f t="shared" si="17"/>
        <v>0</v>
      </c>
      <c r="G161" s="1882"/>
      <c r="H161" s="1883"/>
      <c r="I161" s="723"/>
      <c r="J161" s="716">
        <f t="shared" si="18"/>
        <v>0</v>
      </c>
      <c r="K161" s="1882"/>
      <c r="L161" s="1883"/>
      <c r="M161" s="723"/>
      <c r="N161" s="716">
        <f t="shared" si="19"/>
        <v>0</v>
      </c>
      <c r="O161" s="1882"/>
      <c r="P161" s="1883"/>
      <c r="Q161" s="266"/>
      <c r="R161" s="266"/>
      <c r="S161" s="266"/>
      <c r="T161" s="149"/>
      <c r="Z161" s="137">
        <f t="shared" si="13"/>
        <v>0</v>
      </c>
    </row>
    <row r="162" spans="1:29" s="122" customFormat="1" ht="27.75" customHeight="1">
      <c r="A162" s="218">
        <v>244</v>
      </c>
      <c r="B162" s="217"/>
      <c r="C162" s="1810" t="s">
        <v>683</v>
      </c>
      <c r="D162" s="1914"/>
      <c r="E162" s="723"/>
      <c r="F162" s="716">
        <f t="shared" si="17"/>
        <v>0</v>
      </c>
      <c r="G162" s="1882"/>
      <c r="H162" s="1883"/>
      <c r="I162" s="723"/>
      <c r="J162" s="716">
        <f t="shared" si="18"/>
        <v>0</v>
      </c>
      <c r="K162" s="1882"/>
      <c r="L162" s="1883"/>
      <c r="M162" s="723"/>
      <c r="N162" s="716">
        <f t="shared" si="19"/>
        <v>0</v>
      </c>
      <c r="O162" s="1882"/>
      <c r="P162" s="1883"/>
      <c r="Q162" s="266"/>
      <c r="R162" s="266"/>
      <c r="S162" s="266"/>
      <c r="T162" s="149"/>
      <c r="Z162" s="137">
        <f t="shared" si="13"/>
        <v>0</v>
      </c>
    </row>
    <row r="163" spans="1:29" s="122" customFormat="1" ht="27.75" customHeight="1">
      <c r="A163" s="243">
        <v>244</v>
      </c>
      <c r="B163" s="246"/>
      <c r="C163" s="1810" t="s">
        <v>684</v>
      </c>
      <c r="D163" s="1914"/>
      <c r="E163" s="723"/>
      <c r="F163" s="716">
        <f t="shared" si="17"/>
        <v>0</v>
      </c>
      <c r="G163" s="1792">
        <f>G164-SUM(G155:H162)</f>
        <v>0</v>
      </c>
      <c r="H163" s="1793"/>
      <c r="I163" s="723"/>
      <c r="J163" s="716">
        <f t="shared" si="18"/>
        <v>0</v>
      </c>
      <c r="K163" s="1638">
        <f>K164-SUM(K155:L162)</f>
        <v>0</v>
      </c>
      <c r="L163" s="1641"/>
      <c r="M163" s="723"/>
      <c r="N163" s="716">
        <f t="shared" si="19"/>
        <v>0</v>
      </c>
      <c r="O163" s="1638">
        <f>O164-SUM(O155:P162)</f>
        <v>0</v>
      </c>
      <c r="P163" s="1641"/>
      <c r="Q163" s="266"/>
      <c r="R163" s="266"/>
      <c r="S163" s="266"/>
      <c r="T163" s="149"/>
      <c r="Z163" s="137">
        <f t="shared" si="13"/>
        <v>0</v>
      </c>
    </row>
    <row r="164" spans="1:29" s="267" customFormat="1" ht="27.75" customHeight="1">
      <c r="A164" s="258"/>
      <c r="B164" s="261"/>
      <c r="C164" s="1897" t="s">
        <v>554</v>
      </c>
      <c r="D164" s="1898"/>
      <c r="E164" s="736" t="s">
        <v>412</v>
      </c>
      <c r="F164" s="734" t="s">
        <v>412</v>
      </c>
      <c r="G164" s="1667">
        <f>SUMIFS(Титульный!$O$69:$O$292,Титульный!$K$69:$K$292,'КФО 5'!$Q164,Титульный!$L$69:$L$292,'КФО 5'!$R164,Титульный!$N$69:$N$292,'КФО 5'!$S164)</f>
        <v>0</v>
      </c>
      <c r="H164" s="1800">
        <f>SUMIFS(Титульный!$O$69:$O$292,Титульный!$K$69:$K$292,'КФО 2'!$Q164,Титульный!$L$69:$L$292,'КФО 2'!$R164,Титульный!$N$69:$N$292,'КФО 2'!$S164)</f>
        <v>0</v>
      </c>
      <c r="I164" s="736" t="s">
        <v>412</v>
      </c>
      <c r="J164" s="734" t="s">
        <v>412</v>
      </c>
      <c r="K164" s="1886">
        <f>SUMIFS(Титульный!$P$69:$P$292,
Титульный!$K$69:$K$292,'КФО 5'!$Q164,
Титульный!$L$69:$L$292,'КФО 5'!$R164,
Титульный!$N$69:$N$292,'КФО 5'!$S164)</f>
        <v>0</v>
      </c>
      <c r="L164" s="1800">
        <f>SUMIFS(Титульный!$P$69:$P$292,
Титульный!$K$69:$K$292,'КФО 2'!$Q164,
Титульный!$L$69:$L$292,'КФО 2'!$R164,
Титульный!$N$69:$N$292,'КФО 2'!$S164)</f>
        <v>0</v>
      </c>
      <c r="M164" s="736" t="s">
        <v>412</v>
      </c>
      <c r="N164" s="734" t="s">
        <v>412</v>
      </c>
      <c r="O164" s="1886">
        <f>SUMIFS(Титульный!$Q$69:$Q$292,
Титульный!$K$69:$K$292,'КФО 5'!$Q164,
Титульный!$L$69:$L$292,'КФО 5'!$R164,
Титульный!$N$69:$N$292,'КФО 5'!$S164)</f>
        <v>0</v>
      </c>
      <c r="P164" s="1800">
        <f>SUMIFS(Титульный!$Q$69:$Q$292,
Титульный!$K$69:$K$292,'КФО 2'!$Q164,
Титульный!$L$69:$L$292,'КФО 2'!$R164,
Титульный!$N$69:$N$292,'КФО 2'!$S164)</f>
        <v>0</v>
      </c>
      <c r="Q164" s="266">
        <v>5</v>
      </c>
      <c r="R164" s="266">
        <v>244</v>
      </c>
      <c r="S164" s="266">
        <v>310</v>
      </c>
      <c r="T164" s="266"/>
      <c r="Z164" s="137">
        <f t="shared" si="13"/>
        <v>0</v>
      </c>
    </row>
    <row r="165" spans="1:29" s="195" customFormat="1" ht="12" customHeight="1">
      <c r="B165" s="256"/>
      <c r="Q165" s="272"/>
      <c r="R165" s="272"/>
      <c r="S165" s="272"/>
      <c r="T165" s="146"/>
      <c r="Z165" s="137">
        <f t="shared" ref="Z165:Z181" si="20">SUM(AA165:AR165)</f>
        <v>0</v>
      </c>
    </row>
    <row r="166" spans="1:29" s="195" customFormat="1" ht="12" hidden="1" customHeight="1">
      <c r="B166" s="256"/>
      <c r="Q166" s="272"/>
      <c r="R166" s="272"/>
      <c r="S166" s="272"/>
      <c r="T166" s="146"/>
      <c r="Z166" s="137">
        <f t="shared" si="20"/>
        <v>0</v>
      </c>
    </row>
    <row r="167" spans="1:29" s="195" customFormat="1" ht="12" hidden="1" customHeight="1">
      <c r="B167" s="256"/>
      <c r="Q167" s="272"/>
      <c r="R167" s="272"/>
      <c r="S167" s="272"/>
      <c r="T167" s="146"/>
      <c r="Z167" s="137">
        <f t="shared" si="20"/>
        <v>0</v>
      </c>
    </row>
    <row r="168" spans="1:29" s="215" customFormat="1" ht="27.75" customHeight="1">
      <c r="A168" s="1643" t="s">
        <v>586</v>
      </c>
      <c r="B168" s="1643"/>
      <c r="C168" s="1643"/>
      <c r="D168" s="1643"/>
      <c r="E168" s="1643"/>
      <c r="F168" s="1643"/>
      <c r="G168" s="1643"/>
      <c r="H168" s="1643"/>
      <c r="I168" s="1643"/>
      <c r="J168" s="1643"/>
      <c r="K168" s="1643"/>
      <c r="L168" s="1643"/>
      <c r="M168" s="1643"/>
      <c r="N168" s="1643"/>
      <c r="O168" s="1643"/>
      <c r="P168" s="1643"/>
      <c r="Q168" s="266"/>
      <c r="R168" s="266"/>
      <c r="S168" s="266"/>
      <c r="T168" s="214"/>
      <c r="Z168" s="137">
        <f t="shared" si="20"/>
        <v>0</v>
      </c>
    </row>
    <row r="169" spans="1:29" s="195" customFormat="1" ht="12" customHeight="1">
      <c r="B169" s="256"/>
      <c r="Q169" s="272"/>
      <c r="R169" s="272"/>
      <c r="S169" s="272"/>
      <c r="T169" s="146"/>
      <c r="Z169" s="137">
        <f t="shared" si="20"/>
        <v>0</v>
      </c>
    </row>
    <row r="170" spans="1:29" s="195" customFormat="1" ht="33" customHeight="1">
      <c r="A170" s="1687" t="s">
        <v>541</v>
      </c>
      <c r="B170" s="1651" t="s">
        <v>430</v>
      </c>
      <c r="C170" s="1892" t="s">
        <v>0</v>
      </c>
      <c r="D170" s="1696" t="s">
        <v>211</v>
      </c>
      <c r="E170" s="1858" t="s">
        <v>1114</v>
      </c>
      <c r="F170" s="1859"/>
      <c r="G170" s="1859"/>
      <c r="H170" s="1887"/>
      <c r="I170" s="1856" t="s">
        <v>1115</v>
      </c>
      <c r="J170" s="1854"/>
      <c r="K170" s="1854"/>
      <c r="L170" s="1855"/>
      <c r="M170" s="1853" t="s">
        <v>1116</v>
      </c>
      <c r="N170" s="1854"/>
      <c r="O170" s="1854"/>
      <c r="P170" s="1855"/>
      <c r="Q170" s="272"/>
      <c r="R170" s="272"/>
      <c r="S170" s="272"/>
      <c r="T170" s="146"/>
      <c r="Z170" s="137">
        <f t="shared" si="20"/>
        <v>0</v>
      </c>
      <c r="AA170" s="137">
        <f>SUM(G173:H180)-SUBTOTAL(109,G173:H180)</f>
        <v>0</v>
      </c>
      <c r="AB170" s="137">
        <f>SUM(K173:L180)-SUBTOTAL(109,K173:L180)</f>
        <v>0</v>
      </c>
      <c r="AC170" s="137">
        <f>SUM(O173:P180)-SUBTOTAL(109,O173:P180)</f>
        <v>0</v>
      </c>
    </row>
    <row r="171" spans="1:29" s="195" customFormat="1" ht="25.5">
      <c r="A171" s="1688"/>
      <c r="B171" s="1684"/>
      <c r="C171" s="1847"/>
      <c r="D171" s="1698"/>
      <c r="E171" s="169" t="s">
        <v>729</v>
      </c>
      <c r="F171" s="201" t="s">
        <v>587</v>
      </c>
      <c r="G171" s="1888" t="s">
        <v>496</v>
      </c>
      <c r="H171" s="1839"/>
      <c r="I171" s="169" t="s">
        <v>729</v>
      </c>
      <c r="J171" s="201" t="s">
        <v>587</v>
      </c>
      <c r="K171" s="1888" t="s">
        <v>496</v>
      </c>
      <c r="L171" s="1839"/>
      <c r="M171" s="169" t="s">
        <v>729</v>
      </c>
      <c r="N171" s="201" t="s">
        <v>587</v>
      </c>
      <c r="O171" s="1888" t="s">
        <v>496</v>
      </c>
      <c r="P171" s="1839"/>
      <c r="Q171" s="272"/>
      <c r="R171" s="272"/>
      <c r="S171" s="272"/>
      <c r="T171" s="146"/>
      <c r="Z171" s="137">
        <f t="shared" si="20"/>
        <v>0</v>
      </c>
    </row>
    <row r="172" spans="1:29" s="195" customFormat="1">
      <c r="A172" s="157" t="s">
        <v>6</v>
      </c>
      <c r="B172" s="361" t="s">
        <v>7</v>
      </c>
      <c r="C172" s="158" t="s">
        <v>8</v>
      </c>
      <c r="D172" s="160" t="s">
        <v>9</v>
      </c>
      <c r="E172" s="189">
        <v>4</v>
      </c>
      <c r="F172" s="168">
        <v>5</v>
      </c>
      <c r="G172" s="1653" t="s">
        <v>716</v>
      </c>
      <c r="H172" s="1654"/>
      <c r="I172" s="189">
        <v>7</v>
      </c>
      <c r="J172" s="168">
        <v>8</v>
      </c>
      <c r="K172" s="1653" t="s">
        <v>717</v>
      </c>
      <c r="L172" s="1654"/>
      <c r="M172" s="189" t="s">
        <v>413</v>
      </c>
      <c r="N172" s="168" t="s">
        <v>418</v>
      </c>
      <c r="O172" s="1653" t="s">
        <v>499</v>
      </c>
      <c r="P172" s="1654"/>
      <c r="Q172" s="272"/>
      <c r="R172" s="272"/>
      <c r="S172" s="272"/>
      <c r="T172" s="146"/>
      <c r="Z172" s="137">
        <f t="shared" si="20"/>
        <v>0</v>
      </c>
    </row>
    <row r="173" spans="1:29" s="122" customFormat="1" ht="27.75" customHeight="1">
      <c r="A173" s="210">
        <v>244</v>
      </c>
      <c r="B173" s="254"/>
      <c r="C173" s="268" t="s">
        <v>685</v>
      </c>
      <c r="D173" s="228" t="s">
        <v>715</v>
      </c>
      <c r="E173" s="723">
        <f>ROUNDUP(G173/300,0)</f>
        <v>0</v>
      </c>
      <c r="F173" s="716">
        <f t="shared" ref="F173:F180" si="21">IFERROR(ROUND(G173/E173,2),0)</f>
        <v>0</v>
      </c>
      <c r="G173" s="1791">
        <f>SUMIFS(Титульный!$O$69:$O$292,Титульный!$K$69:$K$292,'КФО 5'!$Q173,Титульный!$L$69:$L$292,'КФО 5'!$R173,Титульный!$N$69:$N$292,'КФО 5'!$S173)</f>
        <v>0</v>
      </c>
      <c r="H173" s="1674"/>
      <c r="I173" s="723">
        <f>ROUNDUP(K173/300,0)</f>
        <v>0</v>
      </c>
      <c r="J173" s="716">
        <f t="shared" ref="J173:J180" si="22">IFERROR(ROUND(K173/I173,2),0)</f>
        <v>0</v>
      </c>
      <c r="K173" s="1885">
        <f>SUMIFS(Титульный!$P$69:$P$292,
Титульный!$K$69:$K$292,'КФО 5'!$Q173,
Титульный!$L$69:$L$292,'КФО 5'!$R173,
Титульный!$N$69:$N$292,'КФО 5'!$S173)</f>
        <v>0</v>
      </c>
      <c r="L173" s="1674"/>
      <c r="M173" s="723">
        <f>ROUNDUP(O173/300,0)</f>
        <v>0</v>
      </c>
      <c r="N173" s="716">
        <f t="shared" ref="N173:N180" si="23">IFERROR(ROUND(O173/M173,2),0)</f>
        <v>0</v>
      </c>
      <c r="O173" s="1885">
        <f>SUMIFS(Титульный!$Q$69:$Q$292,
Титульный!$K$69:$K$292,'КФО 5'!$Q173,
Титульный!$L$69:$L$292,'КФО 5'!$R173,
Титульный!$N$69:$N$292,'КФО 5'!$S173)</f>
        <v>0</v>
      </c>
      <c r="P173" s="1674"/>
      <c r="Q173" s="266">
        <v>5</v>
      </c>
      <c r="R173" s="266">
        <v>244</v>
      </c>
      <c r="S173" s="266">
        <v>341</v>
      </c>
      <c r="T173" s="149"/>
      <c r="Z173" s="137">
        <f t="shared" si="20"/>
        <v>0</v>
      </c>
    </row>
    <row r="174" spans="1:29" s="122" customFormat="1" ht="27.75" customHeight="1">
      <c r="A174" s="211">
        <v>244</v>
      </c>
      <c r="B174" s="216"/>
      <c r="C174" s="239" t="s">
        <v>686</v>
      </c>
      <c r="D174" s="219" t="s">
        <v>715</v>
      </c>
      <c r="E174" s="723">
        <f>ROUNDUP(G174/250,0)</f>
        <v>0</v>
      </c>
      <c r="F174" s="716">
        <f t="shared" si="21"/>
        <v>0</v>
      </c>
      <c r="G174" s="1882">
        <f>SUMIFS(Титульный!$O$69:$O$292,Титульный!$K$69:$K$292,'КФО 5'!$Q174,Титульный!$L$69:$L$292,'КФО 5'!$R174,Титульный!$N$69:$N$292,'КФО 5'!$S174)</f>
        <v>0</v>
      </c>
      <c r="H174" s="1883"/>
      <c r="I174" s="723">
        <f>ROUNDUP(K174/165,0)</f>
        <v>0</v>
      </c>
      <c r="J174" s="716">
        <f t="shared" si="22"/>
        <v>0</v>
      </c>
      <c r="K174" s="1884">
        <f>SUMIFS(Титульный!$P$69:$P$292,
Титульный!$K$69:$K$292,'КФО 5'!$Q174,
Титульный!$L$69:$L$292,'КФО 5'!$R174,
Титульный!$N$69:$N$292,'КФО 5'!$S174)</f>
        <v>0</v>
      </c>
      <c r="L174" s="1883"/>
      <c r="M174" s="723">
        <f>ROUNDUP(O174/165,0)</f>
        <v>0</v>
      </c>
      <c r="N174" s="716">
        <f t="shared" si="23"/>
        <v>0</v>
      </c>
      <c r="O174" s="1884">
        <f>SUMIFS(Титульный!$Q$69:$Q$292,
Титульный!$K$69:$K$292,'КФО 5'!$Q174,
Титульный!$L$69:$L$292,'КФО 5'!$R174,
Титульный!$N$69:$N$292,'КФО 5'!$S174)</f>
        <v>0</v>
      </c>
      <c r="P174" s="1883"/>
      <c r="Q174" s="266">
        <v>5</v>
      </c>
      <c r="R174" s="266">
        <v>244</v>
      </c>
      <c r="S174" s="266">
        <v>342</v>
      </c>
      <c r="T174" s="149"/>
      <c r="Z174" s="137">
        <f t="shared" si="20"/>
        <v>0</v>
      </c>
    </row>
    <row r="175" spans="1:29" s="122" customFormat="1" ht="27.75" customHeight="1">
      <c r="A175" s="211">
        <v>244</v>
      </c>
      <c r="B175" s="216"/>
      <c r="C175" s="239" t="s">
        <v>249</v>
      </c>
      <c r="D175" s="219" t="s">
        <v>724</v>
      </c>
      <c r="E175" s="723">
        <f>ROUNDUP(G175/50,0)</f>
        <v>0</v>
      </c>
      <c r="F175" s="716">
        <f t="shared" si="21"/>
        <v>0</v>
      </c>
      <c r="G175" s="1882">
        <f>SUMIFS(Титульный!$O$69:$O$292,Титульный!$K$69:$K$292,'КФО 5'!$Q175,Титульный!$L$69:$L$292,'КФО 5'!$R175,Титульный!$N$69:$N$292,'КФО 5'!$S175)</f>
        <v>0</v>
      </c>
      <c r="H175" s="1883"/>
      <c r="I175" s="723">
        <f>ROUNDUP(K175/50,0)</f>
        <v>0</v>
      </c>
      <c r="J175" s="716">
        <f t="shared" si="22"/>
        <v>0</v>
      </c>
      <c r="K175" s="1884">
        <f>SUMIFS(Титульный!$P$69:$P$292,
Титульный!$K$69:$K$292,'КФО 5'!$Q175,
Титульный!$L$69:$L$292,'КФО 5'!$R175,
Титульный!$N$69:$N$292,'КФО 5'!$S175)</f>
        <v>0</v>
      </c>
      <c r="L175" s="1883"/>
      <c r="M175" s="723">
        <f>ROUNDUP(O175/50,0)</f>
        <v>0</v>
      </c>
      <c r="N175" s="716">
        <f t="shared" si="23"/>
        <v>0</v>
      </c>
      <c r="O175" s="1884">
        <f>SUMIFS(Титульный!$Q$69:$Q$292,
Титульный!$K$69:$K$292,'КФО 5'!$Q175,
Титульный!$L$69:$L$292,'КФО 5'!$R175,
Титульный!$N$69:$N$292,'КФО 5'!$S175)</f>
        <v>0</v>
      </c>
      <c r="P175" s="1883"/>
      <c r="Q175" s="266">
        <v>5</v>
      </c>
      <c r="R175" s="266">
        <v>244</v>
      </c>
      <c r="S175" s="266">
        <v>343</v>
      </c>
      <c r="T175" s="149"/>
      <c r="Z175" s="137">
        <f t="shared" si="20"/>
        <v>0</v>
      </c>
    </row>
    <row r="176" spans="1:29" s="122" customFormat="1" ht="27.75" customHeight="1">
      <c r="A176" s="211">
        <v>244</v>
      </c>
      <c r="B176" s="216"/>
      <c r="C176" s="239" t="s">
        <v>250</v>
      </c>
      <c r="D176" s="219" t="s">
        <v>715</v>
      </c>
      <c r="E176" s="723">
        <f>ROUNDUP(G176/300,0)</f>
        <v>0</v>
      </c>
      <c r="F176" s="716">
        <f t="shared" si="21"/>
        <v>0</v>
      </c>
      <c r="G176" s="1882">
        <f>SUMIFS(Титульный!$O$69:$O$292,Титульный!$K$69:$K$292,'КФО 5'!$Q176,Титульный!$L$69:$L$292,'КФО 5'!$R176,Титульный!$N$69:$N$292,'КФО 5'!$S176)</f>
        <v>0</v>
      </c>
      <c r="H176" s="1883"/>
      <c r="I176" s="723">
        <f>ROUNDUP(K176/300,0)</f>
        <v>0</v>
      </c>
      <c r="J176" s="716">
        <f t="shared" si="22"/>
        <v>0</v>
      </c>
      <c r="K176" s="1884">
        <f>SUMIFS(Титульный!$P$69:$P$292,
Титульный!$K$69:$K$292,'КФО 5'!$Q176,
Титульный!$L$69:$L$292,'КФО 5'!$R176,
Титульный!$N$69:$N$292,'КФО 5'!$S176)</f>
        <v>0</v>
      </c>
      <c r="L176" s="1883"/>
      <c r="M176" s="723">
        <f>ROUNDUP(O176/300,0)</f>
        <v>0</v>
      </c>
      <c r="N176" s="716">
        <f t="shared" si="23"/>
        <v>0</v>
      </c>
      <c r="O176" s="1884">
        <f>SUMIFS(Титульный!$Q$69:$Q$292,
Титульный!$K$69:$K$292,'КФО 5'!$Q176,
Титульный!$L$69:$L$292,'КФО 5'!$R176,
Титульный!$N$69:$N$292,'КФО 5'!$S176)</f>
        <v>0</v>
      </c>
      <c r="P176" s="1883"/>
      <c r="Q176" s="266">
        <v>5</v>
      </c>
      <c r="R176" s="266">
        <v>244</v>
      </c>
      <c r="S176" s="266">
        <v>344</v>
      </c>
      <c r="T176" s="149"/>
      <c r="Z176" s="137">
        <f t="shared" si="20"/>
        <v>0</v>
      </c>
    </row>
    <row r="177" spans="1:26" s="122" customFormat="1" ht="27.75" customHeight="1">
      <c r="A177" s="211">
        <v>244</v>
      </c>
      <c r="B177" s="216"/>
      <c r="C177" s="239" t="s">
        <v>687</v>
      </c>
      <c r="D177" s="219" t="s">
        <v>715</v>
      </c>
      <c r="E177" s="723">
        <f>ROUNDUP(G177/600,0)</f>
        <v>0</v>
      </c>
      <c r="F177" s="716">
        <f t="shared" si="21"/>
        <v>0</v>
      </c>
      <c r="G177" s="1882">
        <f>SUMIFS(Титульный!$O$69:$O$292,Титульный!$K$69:$K$292,'КФО 5'!$Q177,Титульный!$L$69:$L$292,'КФО 5'!$R177,Титульный!$N$69:$N$292,'КФО 5'!$S177)</f>
        <v>0</v>
      </c>
      <c r="H177" s="1883"/>
      <c r="I177" s="723">
        <f>ROUNDUP(K177/600,0)</f>
        <v>0</v>
      </c>
      <c r="J177" s="716">
        <f t="shared" si="22"/>
        <v>0</v>
      </c>
      <c r="K177" s="1884">
        <f>SUMIFS(Титульный!$P$69:$P$292,
Титульный!$K$69:$K$292,'КФО 5'!$Q177,
Титульный!$L$69:$L$292,'КФО 5'!$R177,
Титульный!$N$69:$N$292,'КФО 5'!$S177)</f>
        <v>0</v>
      </c>
      <c r="L177" s="1883"/>
      <c r="M177" s="723">
        <f>ROUNDUP(O177/600,0)</f>
        <v>0</v>
      </c>
      <c r="N177" s="716">
        <f t="shared" si="23"/>
        <v>0</v>
      </c>
      <c r="O177" s="1884">
        <f>SUMIFS(Титульный!$Q$69:$Q$292,
Титульный!$K$69:$K$292,'КФО 5'!$Q177,
Титульный!$L$69:$L$292,'КФО 5'!$R177,
Титульный!$N$69:$N$292,'КФО 5'!$S177)</f>
        <v>0</v>
      </c>
      <c r="P177" s="1883"/>
      <c r="Q177" s="266">
        <v>5</v>
      </c>
      <c r="R177" s="266">
        <v>244</v>
      </c>
      <c r="S177" s="266">
        <v>345</v>
      </c>
      <c r="T177" s="149"/>
      <c r="Z177" s="137">
        <f t="shared" si="20"/>
        <v>0</v>
      </c>
    </row>
    <row r="178" spans="1:26" s="122" customFormat="1" ht="27.75" customHeight="1">
      <c r="A178" s="211">
        <v>244</v>
      </c>
      <c r="B178" s="216"/>
      <c r="C178" s="239" t="s">
        <v>688</v>
      </c>
      <c r="D178" s="219" t="s">
        <v>715</v>
      </c>
      <c r="E178" s="723">
        <f>ROUNDUP(G178/1010,0)</f>
        <v>0</v>
      </c>
      <c r="F178" s="716">
        <f t="shared" si="21"/>
        <v>0</v>
      </c>
      <c r="G178" s="1882">
        <f>SUMIFS(Титульный!$O$69:$O$292,Титульный!$K$69:$K$292,'КФО 5'!$Q178,Титульный!$L$69:$L$292,'КФО 5'!$R178,Титульный!$N$69:$N$292,'КФО 5'!$S178)</f>
        <v>0</v>
      </c>
      <c r="H178" s="1883"/>
      <c r="I178" s="723">
        <f>ROUNDUP(K178/1010,0)</f>
        <v>0</v>
      </c>
      <c r="J178" s="716">
        <f t="shared" si="22"/>
        <v>0</v>
      </c>
      <c r="K178" s="1884">
        <f>SUMIFS(Титульный!$P$69:$P$292,
Титульный!$K$69:$K$292,'КФО 5'!$Q178,
Титульный!$L$69:$L$292,'КФО 5'!$R178,
Титульный!$N$69:$N$292,'КФО 5'!$S178)</f>
        <v>0</v>
      </c>
      <c r="L178" s="1883"/>
      <c r="M178" s="723">
        <f>ROUNDUP(O178/1010,0)</f>
        <v>0</v>
      </c>
      <c r="N178" s="716">
        <f t="shared" si="23"/>
        <v>0</v>
      </c>
      <c r="O178" s="1884">
        <f>SUMIFS(Титульный!$Q$69:$Q$292,
Титульный!$K$69:$K$292,'КФО 5'!$Q178,
Титульный!$L$69:$L$292,'КФО 5'!$R178,
Титульный!$N$69:$N$292,'КФО 5'!$S178)</f>
        <v>0</v>
      </c>
      <c r="P178" s="1883"/>
      <c r="Q178" s="266">
        <v>5</v>
      </c>
      <c r="R178" s="266">
        <v>244</v>
      </c>
      <c r="S178" s="266">
        <v>346</v>
      </c>
      <c r="T178" s="149"/>
      <c r="Z178" s="137">
        <f t="shared" si="20"/>
        <v>0</v>
      </c>
    </row>
    <row r="179" spans="1:26" s="122" customFormat="1" ht="27.75" customHeight="1">
      <c r="A179" s="211">
        <v>244</v>
      </c>
      <c r="B179" s="216"/>
      <c r="C179" s="239" t="s">
        <v>253</v>
      </c>
      <c r="D179" s="219" t="s">
        <v>715</v>
      </c>
      <c r="E179" s="723">
        <f>ROUNDUP(G179/2000,0)</f>
        <v>0</v>
      </c>
      <c r="F179" s="716">
        <f t="shared" si="21"/>
        <v>0</v>
      </c>
      <c r="G179" s="1882">
        <f>SUMIFS(Титульный!$O$69:$O$292,Титульный!$K$69:$K$292,'КФО 5'!$Q179,Титульный!$L$69:$L$292,'КФО 5'!$R179,Титульный!$N$69:$N$292,'КФО 5'!$S179)</f>
        <v>0</v>
      </c>
      <c r="H179" s="1883"/>
      <c r="I179" s="723">
        <f>ROUNDUP(K179/2000,0)</f>
        <v>0</v>
      </c>
      <c r="J179" s="716">
        <f t="shared" si="22"/>
        <v>0</v>
      </c>
      <c r="K179" s="1884">
        <f>SUMIFS(Титульный!$P$69:$P$292,
Титульный!$K$69:$K$292,'КФО 5'!$Q179,
Титульный!$L$69:$L$292,'КФО 5'!$R179,
Титульный!$N$69:$N$292,'КФО 5'!$S179)</f>
        <v>0</v>
      </c>
      <c r="L179" s="1883"/>
      <c r="M179" s="723">
        <f>ROUNDUP(O179/2000,0)</f>
        <v>0</v>
      </c>
      <c r="N179" s="716">
        <f t="shared" si="23"/>
        <v>0</v>
      </c>
      <c r="O179" s="1884">
        <f>SUMIFS(Титульный!$Q$69:$Q$292,
Титульный!$K$69:$K$292,'КФО 5'!$Q179,
Титульный!$L$69:$L$292,'КФО 5'!$R179,
Титульный!$N$69:$N$292,'КФО 5'!$S179)</f>
        <v>0</v>
      </c>
      <c r="P179" s="1883"/>
      <c r="Q179" s="266">
        <v>5</v>
      </c>
      <c r="R179" s="266">
        <v>244</v>
      </c>
      <c r="S179" s="266">
        <v>347</v>
      </c>
      <c r="T179" s="149"/>
      <c r="Z179" s="137">
        <f t="shared" si="20"/>
        <v>0</v>
      </c>
    </row>
    <row r="180" spans="1:26" s="122" customFormat="1" ht="27.75" customHeight="1">
      <c r="A180" s="211">
        <v>244</v>
      </c>
      <c r="B180" s="216"/>
      <c r="C180" s="239" t="s">
        <v>254</v>
      </c>
      <c r="D180" s="219" t="s">
        <v>715</v>
      </c>
      <c r="E180" s="723">
        <f>ROUNDUP(G180/150,0)</f>
        <v>0</v>
      </c>
      <c r="F180" s="716">
        <f t="shared" si="21"/>
        <v>0</v>
      </c>
      <c r="G180" s="1792">
        <f>SUMIFS(Титульный!$O$69:$O$292,Титульный!$K$69:$K$292,'КФО 5'!$Q180,Титульный!$L$69:$L$292,'КФО 5'!$R180,Титульный!$N$69:$N$292,'КФО 5'!$S180)</f>
        <v>0</v>
      </c>
      <c r="H180" s="1793"/>
      <c r="I180" s="723">
        <f>ROUNDUP(K180/150,0)</f>
        <v>0</v>
      </c>
      <c r="J180" s="716">
        <f t="shared" si="22"/>
        <v>0</v>
      </c>
      <c r="K180" s="1913">
        <f>SUMIFS(Титульный!$P$69:$P$292,
Титульный!$K$69:$K$292,'КФО 5'!$Q180,
Титульный!$L$69:$L$292,'КФО 5'!$R180,
Титульный!$N$69:$N$292,'КФО 5'!$S180)</f>
        <v>0</v>
      </c>
      <c r="L180" s="1793"/>
      <c r="M180" s="723">
        <f>ROUNDUP(O180/150,0)</f>
        <v>0</v>
      </c>
      <c r="N180" s="716">
        <f t="shared" si="23"/>
        <v>0</v>
      </c>
      <c r="O180" s="1913">
        <f>SUMIFS(Титульный!$Q$69:$Q$292,
Титульный!$K$69:$K$292,'КФО 5'!$Q180,
Титульный!$L$69:$L$292,'КФО 5'!$R180,
Титульный!$N$69:$N$292,'КФО 5'!$S180)</f>
        <v>0</v>
      </c>
      <c r="P180" s="1793"/>
      <c r="Q180" s="266">
        <v>5</v>
      </c>
      <c r="R180" s="266">
        <v>244</v>
      </c>
      <c r="S180" s="266">
        <v>349</v>
      </c>
      <c r="T180" s="149"/>
      <c r="Z180" s="137">
        <f t="shared" si="20"/>
        <v>0</v>
      </c>
    </row>
    <row r="181" spans="1:26" s="267" customFormat="1" ht="27.75" customHeight="1">
      <c r="A181" s="258"/>
      <c r="B181" s="259"/>
      <c r="C181" s="235" t="s">
        <v>554</v>
      </c>
      <c r="D181" s="262" t="s">
        <v>412</v>
      </c>
      <c r="E181" s="736" t="s">
        <v>412</v>
      </c>
      <c r="F181" s="734" t="s">
        <v>412</v>
      </c>
      <c r="G181" s="1667">
        <f>SUM(G173:H180)</f>
        <v>0</v>
      </c>
      <c r="H181" s="1800">
        <f>SUMIFS(Титульный!$O$69:$O$292,Титульный!$K$69:$K$292,'КФО 2'!$Q191,Титульный!$L$69:$L$292,'КФО 2'!$R191,Титульный!$N$69:$N$292,'КФО 2'!$S191)</f>
        <v>0</v>
      </c>
      <c r="I181" s="736" t="s">
        <v>412</v>
      </c>
      <c r="J181" s="734" t="s">
        <v>412</v>
      </c>
      <c r="K181" s="1667">
        <f>SUM(K173:L180)</f>
        <v>0</v>
      </c>
      <c r="L181" s="1800">
        <f>SUMIFS(Титульный!$O$69:$O$292,Титульный!$K$69:$K$292,'КФО 2'!$Q191,Титульный!$L$69:$L$292,'КФО 2'!$R191,Титульный!$N$69:$N$292,'КФО 2'!$S191)</f>
        <v>0</v>
      </c>
      <c r="M181" s="736" t="s">
        <v>412</v>
      </c>
      <c r="N181" s="734" t="s">
        <v>412</v>
      </c>
      <c r="O181" s="1667">
        <f>SUM(O173:P180)</f>
        <v>0</v>
      </c>
      <c r="P181" s="1800">
        <f>SUMIFS(Титульный!$O$69:$O$292,Титульный!$K$69:$K$292,'КФО 2'!$Q191,Титульный!$L$69:$L$292,'КФО 2'!$R191,Титульный!$N$69:$N$292,'КФО 2'!$S191)</f>
        <v>0</v>
      </c>
      <c r="Q181" s="266"/>
      <c r="R181" s="266"/>
      <c r="S181" s="266"/>
      <c r="T181" s="266"/>
      <c r="Z181" s="137">
        <f t="shared" si="20"/>
        <v>0</v>
      </c>
    </row>
    <row r="182" spans="1:26" s="144" customFormat="1">
      <c r="B182" s="256"/>
      <c r="Q182" s="272"/>
      <c r="R182" s="272"/>
      <c r="S182" s="272"/>
      <c r="T182" s="146"/>
    </row>
  </sheetData>
  <mergeCells count="509">
    <mergeCell ref="K176:L176"/>
    <mergeCell ref="K177:L177"/>
    <mergeCell ref="K178:L178"/>
    <mergeCell ref="K179:L179"/>
    <mergeCell ref="O176:P176"/>
    <mergeCell ref="O177:P177"/>
    <mergeCell ref="O178:P178"/>
    <mergeCell ref="O179:P179"/>
    <mergeCell ref="G181:H181"/>
    <mergeCell ref="K181:L181"/>
    <mergeCell ref="O181:P181"/>
    <mergeCell ref="G180:H180"/>
    <mergeCell ref="K180:L180"/>
    <mergeCell ref="O180:P180"/>
    <mergeCell ref="G178:H178"/>
    <mergeCell ref="G179:H179"/>
    <mergeCell ref="G176:H176"/>
    <mergeCell ref="G177:H177"/>
    <mergeCell ref="G174:H174"/>
    <mergeCell ref="K174:L174"/>
    <mergeCell ref="O174:P174"/>
    <mergeCell ref="G175:H175"/>
    <mergeCell ref="K175:L175"/>
    <mergeCell ref="O175:P175"/>
    <mergeCell ref="O171:P171"/>
    <mergeCell ref="G172:H172"/>
    <mergeCell ref="K172:L172"/>
    <mergeCell ref="O172:P172"/>
    <mergeCell ref="G173:H173"/>
    <mergeCell ref="K173:L173"/>
    <mergeCell ref="O173:P173"/>
    <mergeCell ref="A168:P168"/>
    <mergeCell ref="A170:A171"/>
    <mergeCell ref="B170:B171"/>
    <mergeCell ref="C170:C171"/>
    <mergeCell ref="D170:D171"/>
    <mergeCell ref="E170:H170"/>
    <mergeCell ref="I170:L170"/>
    <mergeCell ref="M170:P170"/>
    <mergeCell ref="G171:H171"/>
    <mergeCell ref="K171:L171"/>
    <mergeCell ref="C163:D163"/>
    <mergeCell ref="G163:H163"/>
    <mergeCell ref="K163:L163"/>
    <mergeCell ref="O163:P163"/>
    <mergeCell ref="C164:D164"/>
    <mergeCell ref="G164:H164"/>
    <mergeCell ref="K164:L164"/>
    <mergeCell ref="O164:P164"/>
    <mergeCell ref="C161:D161"/>
    <mergeCell ref="G161:H161"/>
    <mergeCell ref="K161:L161"/>
    <mergeCell ref="O161:P161"/>
    <mergeCell ref="C162:D162"/>
    <mergeCell ref="G162:H162"/>
    <mergeCell ref="K162:L162"/>
    <mergeCell ref="O162:P162"/>
    <mergeCell ref="C159:D159"/>
    <mergeCell ref="G159:H159"/>
    <mergeCell ref="K159:L159"/>
    <mergeCell ref="O159:P159"/>
    <mergeCell ref="C160:D160"/>
    <mergeCell ref="G160:H160"/>
    <mergeCell ref="K160:L160"/>
    <mergeCell ref="O160:P160"/>
    <mergeCell ref="C157:D157"/>
    <mergeCell ref="G157:H157"/>
    <mergeCell ref="K157:L157"/>
    <mergeCell ref="O157:P157"/>
    <mergeCell ref="C158:D158"/>
    <mergeCell ref="G158:H158"/>
    <mergeCell ref="K158:L158"/>
    <mergeCell ref="O158:P158"/>
    <mergeCell ref="C155:D155"/>
    <mergeCell ref="G155:H155"/>
    <mergeCell ref="K155:L155"/>
    <mergeCell ref="O155:P155"/>
    <mergeCell ref="C156:D156"/>
    <mergeCell ref="G156:H156"/>
    <mergeCell ref="K156:L156"/>
    <mergeCell ref="O156:P156"/>
    <mergeCell ref="M152:P152"/>
    <mergeCell ref="G153:H153"/>
    <mergeCell ref="K153:L153"/>
    <mergeCell ref="O153:P153"/>
    <mergeCell ref="C154:D154"/>
    <mergeCell ref="G154:H154"/>
    <mergeCell ref="K154:L154"/>
    <mergeCell ref="O154:P154"/>
    <mergeCell ref="C146:D146"/>
    <mergeCell ref="G146:H146"/>
    <mergeCell ref="K146:L146"/>
    <mergeCell ref="O146:P146"/>
    <mergeCell ref="A150:P150"/>
    <mergeCell ref="A152:A153"/>
    <mergeCell ref="B152:B153"/>
    <mergeCell ref="C152:D153"/>
    <mergeCell ref="E152:H152"/>
    <mergeCell ref="I152:L152"/>
    <mergeCell ref="C144:D144"/>
    <mergeCell ref="G144:H144"/>
    <mergeCell ref="K144:L144"/>
    <mergeCell ref="O144:P144"/>
    <mergeCell ref="C145:D145"/>
    <mergeCell ref="G145:H145"/>
    <mergeCell ref="K145:L145"/>
    <mergeCell ref="O145:P145"/>
    <mergeCell ref="C142:D142"/>
    <mergeCell ref="G142:H142"/>
    <mergeCell ref="K142:L142"/>
    <mergeCell ref="O142:P142"/>
    <mergeCell ref="C143:D143"/>
    <mergeCell ref="G143:H143"/>
    <mergeCell ref="K143:L143"/>
    <mergeCell ref="O143:P143"/>
    <mergeCell ref="A138:P138"/>
    <mergeCell ref="A140:A141"/>
    <mergeCell ref="B140:B141"/>
    <mergeCell ref="C140:D141"/>
    <mergeCell ref="E140:H140"/>
    <mergeCell ref="I140:L140"/>
    <mergeCell ref="M140:P140"/>
    <mergeCell ref="G141:H141"/>
    <mergeCell ref="K141:L141"/>
    <mergeCell ref="O141:P141"/>
    <mergeCell ref="C133:D133"/>
    <mergeCell ref="E133:H133"/>
    <mergeCell ref="I133:L133"/>
    <mergeCell ref="M133:P133"/>
    <mergeCell ref="C134:D134"/>
    <mergeCell ref="E134:H134"/>
    <mergeCell ref="I134:L134"/>
    <mergeCell ref="M134:P134"/>
    <mergeCell ref="C131:D131"/>
    <mergeCell ref="E131:H131"/>
    <mergeCell ref="I131:L131"/>
    <mergeCell ref="M131:P131"/>
    <mergeCell ref="C132:D132"/>
    <mergeCell ref="E132:H132"/>
    <mergeCell ref="I132:L132"/>
    <mergeCell ref="M132:P132"/>
    <mergeCell ref="I129:L129"/>
    <mergeCell ref="M129:P129"/>
    <mergeCell ref="C130:D130"/>
    <mergeCell ref="E130:H130"/>
    <mergeCell ref="I130:L130"/>
    <mergeCell ref="M130:P130"/>
    <mergeCell ref="C122:D122"/>
    <mergeCell ref="G122:H122"/>
    <mergeCell ref="K122:L122"/>
    <mergeCell ref="O122:P122"/>
    <mergeCell ref="A126:P126"/>
    <mergeCell ref="A128:A129"/>
    <mergeCell ref="B128:B129"/>
    <mergeCell ref="C128:D129"/>
    <mergeCell ref="E128:P128"/>
    <mergeCell ref="E129:H129"/>
    <mergeCell ref="C120:D120"/>
    <mergeCell ref="G120:H120"/>
    <mergeCell ref="K120:L120"/>
    <mergeCell ref="O120:P120"/>
    <mergeCell ref="C121:D121"/>
    <mergeCell ref="G121:H121"/>
    <mergeCell ref="K121:L121"/>
    <mergeCell ref="O121:P121"/>
    <mergeCell ref="C118:D118"/>
    <mergeCell ref="G118:H118"/>
    <mergeCell ref="K118:L118"/>
    <mergeCell ref="O118:P118"/>
    <mergeCell ref="C119:D119"/>
    <mergeCell ref="G119:H119"/>
    <mergeCell ref="K119:L119"/>
    <mergeCell ref="O119:P119"/>
    <mergeCell ref="C116:D116"/>
    <mergeCell ref="G116:H116"/>
    <mergeCell ref="K116:L116"/>
    <mergeCell ref="O116:P116"/>
    <mergeCell ref="C117:D117"/>
    <mergeCell ref="G117:H117"/>
    <mergeCell ref="K117:L117"/>
    <mergeCell ref="O117:P117"/>
    <mergeCell ref="C114:D114"/>
    <mergeCell ref="G114:H114"/>
    <mergeCell ref="K114:L114"/>
    <mergeCell ref="O114:P114"/>
    <mergeCell ref="C115:D115"/>
    <mergeCell ref="G115:H115"/>
    <mergeCell ref="K115:L115"/>
    <mergeCell ref="O115:P115"/>
    <mergeCell ref="C112:D112"/>
    <mergeCell ref="G112:H112"/>
    <mergeCell ref="K112:L112"/>
    <mergeCell ref="O112:P112"/>
    <mergeCell ref="C113:D113"/>
    <mergeCell ref="G113:H113"/>
    <mergeCell ref="K113:L113"/>
    <mergeCell ref="O113:P113"/>
    <mergeCell ref="C110:D110"/>
    <mergeCell ref="G110:H110"/>
    <mergeCell ref="K110:L110"/>
    <mergeCell ref="O110:P110"/>
    <mergeCell ref="C111:D111"/>
    <mergeCell ref="G111:H111"/>
    <mergeCell ref="K111:L111"/>
    <mergeCell ref="O111:P111"/>
    <mergeCell ref="C108:D108"/>
    <mergeCell ref="G108:H108"/>
    <mergeCell ref="K108:L108"/>
    <mergeCell ref="O108:P108"/>
    <mergeCell ref="C109:D109"/>
    <mergeCell ref="G109:H109"/>
    <mergeCell ref="K109:L109"/>
    <mergeCell ref="O109:P109"/>
    <mergeCell ref="C106:D106"/>
    <mergeCell ref="G106:H106"/>
    <mergeCell ref="K106:L106"/>
    <mergeCell ref="O106:P106"/>
    <mergeCell ref="C107:D107"/>
    <mergeCell ref="G107:H107"/>
    <mergeCell ref="K107:L107"/>
    <mergeCell ref="O107:P107"/>
    <mergeCell ref="A102:P102"/>
    <mergeCell ref="A104:A105"/>
    <mergeCell ref="B104:B105"/>
    <mergeCell ref="C104:D105"/>
    <mergeCell ref="E104:H104"/>
    <mergeCell ref="I104:L104"/>
    <mergeCell ref="M104:P104"/>
    <mergeCell ref="G105:H105"/>
    <mergeCell ref="K105:L105"/>
    <mergeCell ref="O105:P105"/>
    <mergeCell ref="C97:D97"/>
    <mergeCell ref="G97:H97"/>
    <mergeCell ref="K97:L97"/>
    <mergeCell ref="O97:P97"/>
    <mergeCell ref="C98:D98"/>
    <mergeCell ref="G98:H98"/>
    <mergeCell ref="K98:L98"/>
    <mergeCell ref="O98:P98"/>
    <mergeCell ref="C95:D95"/>
    <mergeCell ref="G95:H95"/>
    <mergeCell ref="K95:L95"/>
    <mergeCell ref="O95:P95"/>
    <mergeCell ref="C96:D96"/>
    <mergeCell ref="G96:H96"/>
    <mergeCell ref="K96:L96"/>
    <mergeCell ref="O96:P96"/>
    <mergeCell ref="C93:D93"/>
    <mergeCell ref="G93:H93"/>
    <mergeCell ref="K93:L93"/>
    <mergeCell ref="O93:P93"/>
    <mergeCell ref="C94:D94"/>
    <mergeCell ref="G94:H94"/>
    <mergeCell ref="K94:L94"/>
    <mergeCell ref="O94:P94"/>
    <mergeCell ref="C91:D91"/>
    <mergeCell ref="G91:H91"/>
    <mergeCell ref="K91:L91"/>
    <mergeCell ref="O91:P91"/>
    <mergeCell ref="C92:D92"/>
    <mergeCell ref="G92:H92"/>
    <mergeCell ref="K92:L92"/>
    <mergeCell ref="O92:P92"/>
    <mergeCell ref="C89:D89"/>
    <mergeCell ref="G89:H89"/>
    <mergeCell ref="K89:L89"/>
    <mergeCell ref="O89:P89"/>
    <mergeCell ref="C90:D90"/>
    <mergeCell ref="G90:H90"/>
    <mergeCell ref="K90:L90"/>
    <mergeCell ref="O90:P90"/>
    <mergeCell ref="C87:D87"/>
    <mergeCell ref="G87:H87"/>
    <mergeCell ref="K87:L87"/>
    <mergeCell ref="O87:P87"/>
    <mergeCell ref="C88:D88"/>
    <mergeCell ref="G88:H88"/>
    <mergeCell ref="K88:L88"/>
    <mergeCell ref="O88:P88"/>
    <mergeCell ref="C85:D85"/>
    <mergeCell ref="G85:H85"/>
    <mergeCell ref="K85:L85"/>
    <mergeCell ref="O85:P85"/>
    <mergeCell ref="C86:D86"/>
    <mergeCell ref="G86:H86"/>
    <mergeCell ref="K86:L86"/>
    <mergeCell ref="O86:P86"/>
    <mergeCell ref="C83:D83"/>
    <mergeCell ref="G83:H83"/>
    <mergeCell ref="K83:L83"/>
    <mergeCell ref="O83:P83"/>
    <mergeCell ref="C84:D84"/>
    <mergeCell ref="G84:H84"/>
    <mergeCell ref="K84:L84"/>
    <mergeCell ref="O84:P84"/>
    <mergeCell ref="C81:D81"/>
    <mergeCell ref="G81:H81"/>
    <mergeCell ref="K81:L81"/>
    <mergeCell ref="O81:P81"/>
    <mergeCell ref="C82:D82"/>
    <mergeCell ref="G82:H82"/>
    <mergeCell ref="K82:L82"/>
    <mergeCell ref="O82:P82"/>
    <mergeCell ref="C79:D79"/>
    <mergeCell ref="G79:H79"/>
    <mergeCell ref="K79:L79"/>
    <mergeCell ref="O79:P79"/>
    <mergeCell ref="C80:D80"/>
    <mergeCell ref="G80:H80"/>
    <mergeCell ref="K80:L80"/>
    <mergeCell ref="O80:P80"/>
    <mergeCell ref="C77:D77"/>
    <mergeCell ref="G77:H77"/>
    <mergeCell ref="K77:L77"/>
    <mergeCell ref="O77:P77"/>
    <mergeCell ref="C78:D78"/>
    <mergeCell ref="G78:H78"/>
    <mergeCell ref="K78:L78"/>
    <mergeCell ref="O78:P78"/>
    <mergeCell ref="C75:D75"/>
    <mergeCell ref="G75:H75"/>
    <mergeCell ref="K75:L75"/>
    <mergeCell ref="O75:P75"/>
    <mergeCell ref="C76:D76"/>
    <mergeCell ref="G76:H76"/>
    <mergeCell ref="K76:L76"/>
    <mergeCell ref="O76:P76"/>
    <mergeCell ref="C73:D73"/>
    <mergeCell ref="G73:H73"/>
    <mergeCell ref="K73:L73"/>
    <mergeCell ref="O73:P73"/>
    <mergeCell ref="C74:D74"/>
    <mergeCell ref="G74:H74"/>
    <mergeCell ref="K74:L74"/>
    <mergeCell ref="O74:P74"/>
    <mergeCell ref="C71:D71"/>
    <mergeCell ref="G71:H71"/>
    <mergeCell ref="K71:L71"/>
    <mergeCell ref="O71:P71"/>
    <mergeCell ref="C72:D72"/>
    <mergeCell ref="G72:H72"/>
    <mergeCell ref="K72:L72"/>
    <mergeCell ref="O72:P72"/>
    <mergeCell ref="C69:D69"/>
    <mergeCell ref="G69:H69"/>
    <mergeCell ref="K69:L69"/>
    <mergeCell ref="O69:P69"/>
    <mergeCell ref="C70:D70"/>
    <mergeCell ref="G70:H70"/>
    <mergeCell ref="K70:L70"/>
    <mergeCell ref="O70:P70"/>
    <mergeCell ref="C67:D67"/>
    <mergeCell ref="G67:H67"/>
    <mergeCell ref="K67:L67"/>
    <mergeCell ref="O67:P67"/>
    <mergeCell ref="C68:D68"/>
    <mergeCell ref="G68:H68"/>
    <mergeCell ref="K68:L68"/>
    <mergeCell ref="O68:P68"/>
    <mergeCell ref="C65:D65"/>
    <mergeCell ref="G65:H65"/>
    <mergeCell ref="K65:L65"/>
    <mergeCell ref="O65:P65"/>
    <mergeCell ref="C66:D66"/>
    <mergeCell ref="G66:H66"/>
    <mergeCell ref="K66:L66"/>
    <mergeCell ref="O66:P66"/>
    <mergeCell ref="C63:D63"/>
    <mergeCell ref="G63:H63"/>
    <mergeCell ref="K63:L63"/>
    <mergeCell ref="O63:P63"/>
    <mergeCell ref="C64:D64"/>
    <mergeCell ref="G64:H64"/>
    <mergeCell ref="K64:L64"/>
    <mergeCell ref="O64:P64"/>
    <mergeCell ref="C61:D61"/>
    <mergeCell ref="G61:H61"/>
    <mergeCell ref="K61:L61"/>
    <mergeCell ref="O61:P61"/>
    <mergeCell ref="C62:D62"/>
    <mergeCell ref="G62:H62"/>
    <mergeCell ref="K62:L62"/>
    <mergeCell ref="O62:P62"/>
    <mergeCell ref="C59:D59"/>
    <mergeCell ref="G59:H59"/>
    <mergeCell ref="K59:L59"/>
    <mergeCell ref="O59:P59"/>
    <mergeCell ref="C60:D60"/>
    <mergeCell ref="G60:H60"/>
    <mergeCell ref="K60:L60"/>
    <mergeCell ref="O60:P60"/>
    <mergeCell ref="C57:D57"/>
    <mergeCell ref="G57:H57"/>
    <mergeCell ref="K57:L57"/>
    <mergeCell ref="O57:P57"/>
    <mergeCell ref="C58:D58"/>
    <mergeCell ref="G58:H58"/>
    <mergeCell ref="K58:L58"/>
    <mergeCell ref="O58:P58"/>
    <mergeCell ref="A53:P53"/>
    <mergeCell ref="A55:A56"/>
    <mergeCell ref="B55:B56"/>
    <mergeCell ref="C55:D56"/>
    <mergeCell ref="E55:H55"/>
    <mergeCell ref="I55:L55"/>
    <mergeCell ref="M55:P55"/>
    <mergeCell ref="G56:H56"/>
    <mergeCell ref="K56:L56"/>
    <mergeCell ref="O56:P56"/>
    <mergeCell ref="C48:D48"/>
    <mergeCell ref="G48:H48"/>
    <mergeCell ref="K48:L48"/>
    <mergeCell ref="O48:P48"/>
    <mergeCell ref="C49:D49"/>
    <mergeCell ref="G49:H49"/>
    <mergeCell ref="K49:L49"/>
    <mergeCell ref="O49:P49"/>
    <mergeCell ref="C46:D46"/>
    <mergeCell ref="G46:H46"/>
    <mergeCell ref="K46:L46"/>
    <mergeCell ref="O46:P46"/>
    <mergeCell ref="C47:D47"/>
    <mergeCell ref="G47:H47"/>
    <mergeCell ref="K47:L47"/>
    <mergeCell ref="O47:P47"/>
    <mergeCell ref="G44:H44"/>
    <mergeCell ref="K44:L44"/>
    <mergeCell ref="O44:P44"/>
    <mergeCell ref="C45:D45"/>
    <mergeCell ref="G45:H45"/>
    <mergeCell ref="K45:L45"/>
    <mergeCell ref="O45:P45"/>
    <mergeCell ref="G37:H37"/>
    <mergeCell ref="K37:L37"/>
    <mergeCell ref="O37:P37"/>
    <mergeCell ref="A41:P41"/>
    <mergeCell ref="A43:A44"/>
    <mergeCell ref="B43:B44"/>
    <mergeCell ref="C43:D44"/>
    <mergeCell ref="E43:H43"/>
    <mergeCell ref="I43:L43"/>
    <mergeCell ref="M43:P43"/>
    <mergeCell ref="G35:H35"/>
    <mergeCell ref="K35:L35"/>
    <mergeCell ref="O35:P35"/>
    <mergeCell ref="G36:H36"/>
    <mergeCell ref="K36:L36"/>
    <mergeCell ref="O36:P36"/>
    <mergeCell ref="G33:H33"/>
    <mergeCell ref="K33:L33"/>
    <mergeCell ref="O33:P33"/>
    <mergeCell ref="G34:H34"/>
    <mergeCell ref="K34:L34"/>
    <mergeCell ref="O34:P34"/>
    <mergeCell ref="O30:P30"/>
    <mergeCell ref="G31:H31"/>
    <mergeCell ref="K31:L31"/>
    <mergeCell ref="O31:P31"/>
    <mergeCell ref="G32:H32"/>
    <mergeCell ref="K32:L32"/>
    <mergeCell ref="O32:P32"/>
    <mergeCell ref="A27:P27"/>
    <mergeCell ref="A29:A30"/>
    <mergeCell ref="B29:B30"/>
    <mergeCell ref="C29:C30"/>
    <mergeCell ref="D29:D30"/>
    <mergeCell ref="E29:H29"/>
    <mergeCell ref="I29:L29"/>
    <mergeCell ref="M29:P29"/>
    <mergeCell ref="G30:H30"/>
    <mergeCell ref="K30:L30"/>
    <mergeCell ref="C23:D23"/>
    <mergeCell ref="G23:H23"/>
    <mergeCell ref="K23:L23"/>
    <mergeCell ref="O23:P23"/>
    <mergeCell ref="C22:D22"/>
    <mergeCell ref="G22:H22"/>
    <mergeCell ref="K22:L22"/>
    <mergeCell ref="O22:P22"/>
    <mergeCell ref="G20:H20"/>
    <mergeCell ref="K20:L20"/>
    <mergeCell ref="O20:P20"/>
    <mergeCell ref="C21:D21"/>
    <mergeCell ref="G21:H21"/>
    <mergeCell ref="K21:L21"/>
    <mergeCell ref="O21:P21"/>
    <mergeCell ref="C13:D13"/>
    <mergeCell ref="A17:P17"/>
    <mergeCell ref="A19:A20"/>
    <mergeCell ref="B19:B20"/>
    <mergeCell ref="C19:D20"/>
    <mergeCell ref="E19:H19"/>
    <mergeCell ref="I19:L19"/>
    <mergeCell ref="M19:P19"/>
    <mergeCell ref="C7:D7"/>
    <mergeCell ref="C8:D8"/>
    <mergeCell ref="C9:D9"/>
    <mergeCell ref="C10:D10"/>
    <mergeCell ref="C11:D11"/>
    <mergeCell ref="C12:D12"/>
    <mergeCell ref="A1:P1"/>
    <mergeCell ref="A2:P2"/>
    <mergeCell ref="A3:P3"/>
    <mergeCell ref="A5:A6"/>
    <mergeCell ref="B5:B6"/>
    <mergeCell ref="C5:D6"/>
    <mergeCell ref="E5:H5"/>
    <mergeCell ref="I5:L5"/>
    <mergeCell ref="M5:P5"/>
  </mergeCells>
  <conditionalFormatting sqref="E8:P12 H13 L13 P13 E22:P22 G23:H23 K23:L23 O23:P23 E32:P36 G37:H37 K37:L37 O37:P37 E46:P48 G49:H49 K49:L49 O49:P49 E58:P97 G98:H98 K98:L98 O98:P98 E107:P121 G122:H122 K122:L122 O122:P122 E131:P134 E143:P145 G146:H146 K146:L146 O146:P146 E155:P163 G164:H164 K164:L164 O164:P164 E173:P180 G181:H181 K181:L181 O181:P181">
    <cfRule type="cellIs" dxfId="14" priority="2" operator="lessThan">
      <formula>0</formula>
    </cfRule>
  </conditionalFormatting>
  <conditionalFormatting sqref="E22 E32:E36 E46:E48 E58:E97 E107:E121 E143:E145 E155:E163 E173:E180">
    <cfRule type="expression" dxfId="13" priority="8">
      <formula>AND(G22&gt;0,E22="")</formula>
    </cfRule>
  </conditionalFormatting>
  <conditionalFormatting sqref="F22 F32:F36 F46:F48 F58:F97 F107:F121 F143:F145 F155:F163 F173:F180">
    <cfRule type="expression" dxfId="12" priority="7">
      <formula>AND(G22&gt;0,F22="")</formula>
    </cfRule>
  </conditionalFormatting>
  <conditionalFormatting sqref="I22 I32:I36 I46:I48 I58:I97 I107:I121 I143:I145 I155:I163 I173:I180">
    <cfRule type="expression" dxfId="11" priority="6">
      <formula>AND(K22&gt;0,I22="")</formula>
    </cfRule>
  </conditionalFormatting>
  <conditionalFormatting sqref="J22 J32:J36 J46:J48 J58:J97 J107:J121 J143:J145 J155:J163 J173:J180">
    <cfRule type="expression" dxfId="10" priority="5">
      <formula>AND(K22&gt;0,J22="")</formula>
    </cfRule>
  </conditionalFormatting>
  <conditionalFormatting sqref="M22 M32:M36 M46:M48 M58:M97 M107:M121 M143:M145 M155:M163 M173:M180">
    <cfRule type="expression" dxfId="9" priority="4">
      <formula>AND(O22&gt;0,M22="")</formula>
    </cfRule>
  </conditionalFormatting>
  <conditionalFormatting sqref="N22 N32:N36 N46:N48 N58:N97 N107:N121 N143:N145 N155:N163">
    <cfRule type="expression" dxfId="8" priority="3">
      <formula>AND(O22&gt;0,N22="")</formula>
    </cfRule>
  </conditionalFormatting>
  <pageMargins left="0.19685039370078741" right="0.19685039370078741" top="0.74803149606299213" bottom="0.19685039370078741" header="0.31496062992125984" footer="0.31496062992125984"/>
  <pageSetup paperSize="9" scale="60" fitToHeight="6" orientation="landscape" r:id="rId1"/>
  <rowBreaks count="4" manualBreakCount="4">
    <brk id="37" max="15" man="1"/>
    <brk id="69" max="15" man="1"/>
    <brk id="99" max="15" man="1"/>
    <brk id="134" max="15" man="1"/>
  </rowBreaks>
  <extLst>
    <ext xmlns:x14="http://schemas.microsoft.com/office/spreadsheetml/2009/9/main" uri="{78C0D931-6437-407d-A8EE-F0AAD7539E65}">
      <x14:conditionalFormattings>
        <x14:conditionalFormatting xmlns:xm="http://schemas.microsoft.com/office/excel/2006/main">
          <x14:cfRule type="expression" priority="1" stopIfTrue="1" id="{8514D275-2A1B-4D02-9437-F0FF8A97B1B4}">
            <xm:f>Титульный!$Z$1="скрыть"</xm:f>
            <x14:dxf>
              <fill>
                <patternFill patternType="none">
                  <bgColor auto="1"/>
                </patternFill>
              </fill>
            </x14:dxf>
          </x14:cfRule>
          <xm:sqref>A1:P1048576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Лист13">
    <tabColor theme="8" tint="0.59999389629810485"/>
    <pageSetUpPr fitToPage="1"/>
  </sheetPr>
  <dimension ref="A1:Q30"/>
  <sheetViews>
    <sheetView view="pageBreakPreview" zoomScale="85" zoomScaleNormal="80" zoomScaleSheetLayoutView="85" workbookViewId="0">
      <selection activeCell="N13" sqref="N13"/>
    </sheetView>
  </sheetViews>
  <sheetFormatPr defaultRowHeight="12.75"/>
  <cols>
    <col min="1" max="1" width="11.28515625" customWidth="1"/>
    <col min="2" max="2" width="4.85546875" customWidth="1"/>
    <col min="3" max="3" width="26.5703125" customWidth="1"/>
    <col min="4" max="15" width="12.7109375" customWidth="1"/>
  </cols>
  <sheetData>
    <row r="1" spans="1:12" s="119" customFormat="1"/>
    <row r="2" spans="1:12" s="119" customFormat="1" ht="27.75" customHeight="1">
      <c r="A2" s="1643" t="s">
        <v>588</v>
      </c>
      <c r="B2" s="1643"/>
      <c r="C2" s="1643"/>
      <c r="D2" s="1643"/>
      <c r="E2" s="1643"/>
      <c r="F2" s="1643"/>
      <c r="G2" s="1643"/>
      <c r="H2" s="1643"/>
      <c r="I2" s="1643"/>
      <c r="J2" s="1643"/>
      <c r="K2" s="1643"/>
      <c r="L2" s="1643"/>
    </row>
    <row r="3" spans="1:12" s="119" customFormat="1"/>
    <row r="4" spans="1:12" s="119" customFormat="1" ht="34.5" customHeight="1">
      <c r="A4" s="1687" t="s">
        <v>541</v>
      </c>
      <c r="B4" s="1651" t="s">
        <v>430</v>
      </c>
      <c r="C4" s="1685" t="s">
        <v>0</v>
      </c>
      <c r="D4" s="1949" t="s">
        <v>1114</v>
      </c>
      <c r="E4" s="1950"/>
      <c r="F4" s="1951"/>
      <c r="G4" s="1952" t="s">
        <v>1115</v>
      </c>
      <c r="H4" s="1947"/>
      <c r="I4" s="1948"/>
      <c r="J4" s="1729" t="s">
        <v>1116</v>
      </c>
      <c r="K4" s="1947"/>
      <c r="L4" s="1948"/>
    </row>
    <row r="5" spans="1:12" s="119" customFormat="1" ht="38.25">
      <c r="A5" s="1688"/>
      <c r="B5" s="1684"/>
      <c r="C5" s="1686"/>
      <c r="D5" s="155" t="s">
        <v>589</v>
      </c>
      <c r="E5" s="156" t="s">
        <v>590</v>
      </c>
      <c r="F5" s="150" t="s">
        <v>496</v>
      </c>
      <c r="G5" s="155" t="s">
        <v>589</v>
      </c>
      <c r="H5" s="156" t="s">
        <v>590</v>
      </c>
      <c r="I5" s="150" t="s">
        <v>496</v>
      </c>
      <c r="J5" s="324" t="s">
        <v>589</v>
      </c>
      <c r="K5" s="156" t="s">
        <v>590</v>
      </c>
      <c r="L5" s="150" t="s">
        <v>496</v>
      </c>
    </row>
    <row r="6" spans="1:12" s="119" customFormat="1">
      <c r="A6" s="198" t="s">
        <v>6</v>
      </c>
      <c r="B6" s="196" t="s">
        <v>7</v>
      </c>
      <c r="C6" s="200" t="s">
        <v>8</v>
      </c>
      <c r="D6" s="198" t="s">
        <v>9</v>
      </c>
      <c r="E6" s="196" t="s">
        <v>10</v>
      </c>
      <c r="F6" s="197" t="s">
        <v>497</v>
      </c>
      <c r="G6" s="198" t="s">
        <v>416</v>
      </c>
      <c r="H6" s="196" t="s">
        <v>415</v>
      </c>
      <c r="I6" s="197" t="s">
        <v>498</v>
      </c>
      <c r="J6" s="199" t="s">
        <v>413</v>
      </c>
      <c r="K6" s="196" t="s">
        <v>418</v>
      </c>
      <c r="L6" s="197" t="s">
        <v>499</v>
      </c>
    </row>
    <row r="7" spans="1:12" s="119" customFormat="1" ht="63">
      <c r="A7" s="236" t="s">
        <v>128</v>
      </c>
      <c r="B7" s="241" t="s">
        <v>6</v>
      </c>
      <c r="C7" s="242" t="s">
        <v>591</v>
      </c>
      <c r="D7" s="350" t="s">
        <v>412</v>
      </c>
      <c r="E7" s="717" t="s">
        <v>412</v>
      </c>
      <c r="F7" s="719"/>
      <c r="G7" s="350" t="s">
        <v>412</v>
      </c>
      <c r="H7" s="717" t="s">
        <v>412</v>
      </c>
      <c r="I7" s="719"/>
      <c r="J7" s="720" t="s">
        <v>412</v>
      </c>
      <c r="K7" s="717" t="s">
        <v>412</v>
      </c>
      <c r="L7" s="719"/>
    </row>
    <row r="8" spans="1:12" s="119" customFormat="1" ht="15.75">
      <c r="A8" s="218" t="s">
        <v>128</v>
      </c>
      <c r="B8" s="216" t="s">
        <v>142</v>
      </c>
      <c r="C8" s="238" t="s">
        <v>592</v>
      </c>
      <c r="D8" s="723"/>
      <c r="E8" s="716"/>
      <c r="F8" s="722"/>
      <c r="G8" s="723"/>
      <c r="H8" s="716"/>
      <c r="I8" s="722"/>
      <c r="J8" s="721"/>
      <c r="K8" s="716"/>
      <c r="L8" s="722"/>
    </row>
    <row r="9" spans="1:12" s="119" customFormat="1" ht="15.75">
      <c r="A9" s="218"/>
      <c r="B9" s="216"/>
      <c r="C9" s="238"/>
      <c r="D9" s="723"/>
      <c r="E9" s="716"/>
      <c r="F9" s="722"/>
      <c r="G9" s="723"/>
      <c r="H9" s="716"/>
      <c r="I9" s="722"/>
      <c r="J9" s="721"/>
      <c r="K9" s="716"/>
      <c r="L9" s="722"/>
    </row>
    <row r="10" spans="1:12" s="119" customFormat="1" ht="78.75">
      <c r="A10" s="218" t="s">
        <v>129</v>
      </c>
      <c r="B10" s="216" t="s">
        <v>7</v>
      </c>
      <c r="C10" s="308" t="s">
        <v>593</v>
      </c>
      <c r="D10" s="723" t="s">
        <v>412</v>
      </c>
      <c r="E10" s="716" t="s">
        <v>412</v>
      </c>
      <c r="F10" s="722"/>
      <c r="G10" s="723" t="s">
        <v>412</v>
      </c>
      <c r="H10" s="716" t="s">
        <v>412</v>
      </c>
      <c r="I10" s="722"/>
      <c r="J10" s="721" t="s">
        <v>412</v>
      </c>
      <c r="K10" s="716" t="s">
        <v>412</v>
      </c>
      <c r="L10" s="722"/>
    </row>
    <row r="11" spans="1:12" s="119" customFormat="1" ht="15.75">
      <c r="A11" s="218" t="s">
        <v>129</v>
      </c>
      <c r="B11" s="216" t="s">
        <v>546</v>
      </c>
      <c r="C11" s="238" t="s">
        <v>592</v>
      </c>
      <c r="D11" s="723"/>
      <c r="E11" s="716"/>
      <c r="F11" s="722"/>
      <c r="G11" s="723"/>
      <c r="H11" s="716"/>
      <c r="I11" s="722"/>
      <c r="J11" s="721"/>
      <c r="K11" s="716"/>
      <c r="L11" s="722"/>
    </row>
    <row r="12" spans="1:12" s="119" customFormat="1" ht="15.75">
      <c r="A12" s="222"/>
      <c r="B12" s="220"/>
      <c r="C12" s="321"/>
      <c r="D12" s="742"/>
      <c r="E12" s="738"/>
      <c r="F12" s="739"/>
      <c r="G12" s="742"/>
      <c r="H12" s="738"/>
      <c r="I12" s="739"/>
      <c r="J12" s="744"/>
      <c r="K12" s="738"/>
      <c r="L12" s="739"/>
    </row>
    <row r="13" spans="1:12" s="119" customFormat="1" ht="15.75">
      <c r="A13" s="318"/>
      <c r="B13" s="319"/>
      <c r="C13" s="322" t="s">
        <v>554</v>
      </c>
      <c r="D13" s="351" t="s">
        <v>412</v>
      </c>
      <c r="E13" s="348" t="s">
        <v>412</v>
      </c>
      <c r="F13" s="349"/>
      <c r="G13" s="351" t="s">
        <v>412</v>
      </c>
      <c r="H13" s="348" t="s">
        <v>412</v>
      </c>
      <c r="I13" s="349"/>
      <c r="J13" s="347" t="s">
        <v>412</v>
      </c>
      <c r="K13" s="348" t="s">
        <v>412</v>
      </c>
      <c r="L13" s="349"/>
    </row>
    <row r="15" spans="1:12" ht="15.75">
      <c r="A15" s="195"/>
      <c r="B15" s="256"/>
    </row>
    <row r="16" spans="1:12" s="12" customFormat="1" ht="15.75">
      <c r="C16" s="2" t="s">
        <v>187</v>
      </c>
      <c r="E16" s="1946" t="s">
        <v>409</v>
      </c>
      <c r="F16" s="1946"/>
      <c r="G16" s="1946"/>
      <c r="H16" s="1946"/>
      <c r="I16" s="1946"/>
      <c r="J16" s="1946" t="str">
        <f>Титульный!R3</f>
        <v>В.Г. Андрианов</v>
      </c>
      <c r="K16" s="1946"/>
      <c r="L16" s="1946"/>
    </row>
    <row r="17" spans="3:17" s="12" customFormat="1" ht="15.75">
      <c r="C17" s="2" t="s">
        <v>188</v>
      </c>
      <c r="E17" s="1944" t="s">
        <v>189</v>
      </c>
      <c r="F17" s="1944"/>
      <c r="G17" s="1944"/>
      <c r="H17" s="1944" t="s">
        <v>12</v>
      </c>
      <c r="I17" s="1944"/>
      <c r="J17" s="1945" t="s">
        <v>13</v>
      </c>
      <c r="K17" s="1945"/>
      <c r="L17" s="1945"/>
    </row>
    <row r="18" spans="3:17" s="12" customFormat="1" ht="15.75">
      <c r="C18" s="2"/>
      <c r="F18" s="35"/>
      <c r="G18" s="35"/>
      <c r="H18" s="118"/>
      <c r="I18" s="118"/>
      <c r="J18" s="118"/>
      <c r="K18" s="118"/>
    </row>
    <row r="19" spans="3:17" s="12" customFormat="1" ht="15.75">
      <c r="C19" s="2"/>
      <c r="F19" s="35"/>
      <c r="G19" s="35"/>
      <c r="H19" s="118"/>
      <c r="I19" s="118"/>
      <c r="J19" s="118"/>
      <c r="K19" s="118"/>
    </row>
    <row r="20" spans="3:17" s="12" customFormat="1" ht="15.75">
      <c r="C20" s="2" t="s">
        <v>190</v>
      </c>
      <c r="E20" s="1946" t="s">
        <v>410</v>
      </c>
      <c r="F20" s="1946"/>
      <c r="G20" s="1946"/>
      <c r="H20" s="1946"/>
      <c r="I20" s="1946"/>
      <c r="J20" s="1946" t="str">
        <f>Титульный!R4</f>
        <v>С.Ф. Мусатова</v>
      </c>
      <c r="K20" s="1946"/>
      <c r="L20" s="1946"/>
    </row>
    <row r="21" spans="3:17" s="12" customFormat="1" ht="15.75">
      <c r="C21" s="1"/>
      <c r="E21" s="1944" t="s">
        <v>189</v>
      </c>
      <c r="F21" s="1944"/>
      <c r="G21" s="1944"/>
      <c r="H21" s="1944" t="s">
        <v>12</v>
      </c>
      <c r="I21" s="1944"/>
      <c r="J21" s="1945" t="s">
        <v>13</v>
      </c>
      <c r="K21" s="1945"/>
      <c r="L21" s="1945"/>
    </row>
    <row r="22" spans="3:17" s="12" customFormat="1"/>
    <row r="23" spans="3:17" s="12" customFormat="1">
      <c r="C23" s="390">
        <f>Титульный!L4</f>
        <v>45833</v>
      </c>
    </row>
    <row r="24" spans="3:17" s="12" customFormat="1" ht="15.75">
      <c r="C24" s="135" t="s">
        <v>594</v>
      </c>
      <c r="Q24" s="12" t="s">
        <v>1106</v>
      </c>
    </row>
    <row r="25" spans="3:17" s="12" customFormat="1"/>
    <row r="26" spans="3:17" s="12" customFormat="1"/>
    <row r="27" spans="3:17" s="12" customFormat="1"/>
    <row r="28" spans="3:17" s="12" customFormat="1"/>
    <row r="29" spans="3:17" s="12" customFormat="1"/>
    <row r="30" spans="3:17" s="12" customFormat="1"/>
  </sheetData>
  <mergeCells count="19">
    <mergeCell ref="A2:L2"/>
    <mergeCell ref="E16:G16"/>
    <mergeCell ref="H16:I16"/>
    <mergeCell ref="J16:L16"/>
    <mergeCell ref="J4:L4"/>
    <mergeCell ref="A4:A5"/>
    <mergeCell ref="B4:B5"/>
    <mergeCell ref="C4:C5"/>
    <mergeCell ref="D4:F4"/>
    <mergeCell ref="G4:I4"/>
    <mergeCell ref="E21:G21"/>
    <mergeCell ref="H21:I21"/>
    <mergeCell ref="J21:L21"/>
    <mergeCell ref="E17:G17"/>
    <mergeCell ref="H17:I17"/>
    <mergeCell ref="J17:L17"/>
    <mergeCell ref="E20:G20"/>
    <mergeCell ref="H20:I20"/>
    <mergeCell ref="J20:L20"/>
  </mergeCells>
  <conditionalFormatting sqref="D7:L13">
    <cfRule type="cellIs" dxfId="7" priority="580" operator="lessThan">
      <formula>0</formula>
    </cfRule>
  </conditionalFormatting>
  <pageMargins left="0.19685039370078741" right="0.19685039370078741" top="0.74803149606299213" bottom="0.19685039370078741" header="0.31496062992125984" footer="0.31496062992125984"/>
  <pageSetup paperSize="9" scale="93" orientation="landscape" r:id="rId1"/>
  <extLst>
    <ext xmlns:x14="http://schemas.microsoft.com/office/spreadsheetml/2009/9/main" uri="{78C0D931-6437-407d-A8EE-F0AAD7539E65}">
      <x14:conditionalFormattings>
        <x14:conditionalFormatting xmlns:xm="http://schemas.microsoft.com/office/excel/2006/main">
          <x14:cfRule type="expression" priority="537" id="{B2AC08D1-0501-40E1-BC79-4EF096C3F3DC}">
            <xm:f>Титульный!$Z$1="скрыть"</xm:f>
            <x14:dxf>
              <fill>
                <patternFill patternType="none">
                  <bgColor auto="1"/>
                </patternFill>
              </fill>
            </x14:dxf>
          </x14:cfRule>
          <xm:sqref>A1:L1048576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sheetPr codeName="Лист14">
    <tabColor theme="5" tint="0.79998168889431442"/>
  </sheetPr>
  <dimension ref="A1:Q37"/>
  <sheetViews>
    <sheetView zoomScale="115" zoomScaleNormal="115" workbookViewId="0">
      <pane xSplit="1" ySplit="2" topLeftCell="B3" activePane="bottomRight" state="frozen"/>
      <selection activeCell="E19" sqref="E19"/>
      <selection pane="topRight" activeCell="E19" sqref="E19"/>
      <selection pane="bottomLeft" activeCell="E19" sqref="E19"/>
      <selection pane="bottomRight" activeCell="T9" sqref="T9"/>
    </sheetView>
  </sheetViews>
  <sheetFormatPr defaultRowHeight="12.75"/>
  <cols>
    <col min="1" max="1" width="31.28515625" style="1029" customWidth="1"/>
    <col min="2" max="2" width="10.42578125" style="750" customWidth="1"/>
    <col min="3" max="5" width="10.42578125" style="751" customWidth="1"/>
    <col min="6" max="6" width="10.42578125" style="752" customWidth="1"/>
    <col min="7" max="7" width="10.42578125" style="750" customWidth="1"/>
    <col min="8" max="10" width="10.42578125" style="751" customWidth="1"/>
    <col min="11" max="11" width="10.42578125" style="752" customWidth="1"/>
    <col min="12" max="12" width="10.42578125" style="750" customWidth="1"/>
    <col min="13" max="15" width="10.42578125" style="751" customWidth="1"/>
    <col min="16" max="16" width="10.42578125" style="752" customWidth="1"/>
    <col min="17" max="17" width="7.85546875" customWidth="1"/>
  </cols>
  <sheetData>
    <row r="1" spans="1:17" s="1019" customFormat="1" ht="17.25" customHeight="1">
      <c r="A1" s="1017"/>
      <c r="B1" s="1953">
        <v>2025</v>
      </c>
      <c r="C1" s="1954"/>
      <c r="D1" s="1954"/>
      <c r="E1" s="1954"/>
      <c r="F1" s="1955"/>
      <c r="G1" s="1953">
        <v>2026</v>
      </c>
      <c r="H1" s="1954"/>
      <c r="I1" s="1954"/>
      <c r="J1" s="1954"/>
      <c r="K1" s="1955"/>
      <c r="L1" s="1953">
        <v>2027</v>
      </c>
      <c r="M1" s="1954"/>
      <c r="N1" s="1954"/>
      <c r="O1" s="1954"/>
      <c r="P1" s="1955"/>
      <c r="Q1" s="1018"/>
    </row>
    <row r="2" spans="1:17" s="1029" customFormat="1" ht="41.25" customHeight="1">
      <c r="A2" s="1020"/>
      <c r="B2" s="1053" t="s">
        <v>889</v>
      </c>
      <c r="C2" s="1054" t="s">
        <v>890</v>
      </c>
      <c r="D2" s="1054" t="s">
        <v>891</v>
      </c>
      <c r="E2" s="1956" t="s">
        <v>894</v>
      </c>
      <c r="F2" s="1957"/>
      <c r="G2" s="1053" t="s">
        <v>889</v>
      </c>
      <c r="H2" s="1054" t="s">
        <v>890</v>
      </c>
      <c r="I2" s="1054" t="s">
        <v>891</v>
      </c>
      <c r="J2" s="1956" t="s">
        <v>894</v>
      </c>
      <c r="K2" s="1957"/>
      <c r="L2" s="1053" t="s">
        <v>889</v>
      </c>
      <c r="M2" s="1054" t="s">
        <v>890</v>
      </c>
      <c r="N2" s="1054" t="s">
        <v>891</v>
      </c>
      <c r="O2" s="1956" t="s">
        <v>894</v>
      </c>
      <c r="P2" s="1957"/>
      <c r="Q2" s="1052"/>
    </row>
    <row r="3" spans="1:17" ht="17.25" customHeight="1">
      <c r="A3" s="1021">
        <v>111</v>
      </c>
      <c r="B3" s="773">
        <f>SUMIFS(Титульный!$O$69:$O$292,Титульный!$L$69:$L$292,'Проверочная таблица'!A3)</f>
        <v>117297470.79000001</v>
      </c>
      <c r="C3" s="774">
        <f>'2'!F40</f>
        <v>117297470.79000001</v>
      </c>
      <c r="D3" s="775">
        <f>'111'!J16+'111'!I47</f>
        <v>117297470.79000001</v>
      </c>
      <c r="E3" s="776">
        <f t="shared" ref="E3:E16" si="0">B3-C3</f>
        <v>0</v>
      </c>
      <c r="F3" s="777">
        <f t="shared" ref="F3:F16" si="1">B3-D3</f>
        <v>0</v>
      </c>
      <c r="G3" s="773">
        <f>SUMIFS(Титульный!$P$69:$P$292,Титульный!$L$69:$L$292,'Проверочная таблица'!A3)</f>
        <v>116794495</v>
      </c>
      <c r="H3" s="774">
        <f>'2'!G40</f>
        <v>116794495</v>
      </c>
      <c r="I3" s="775">
        <f>'111'!J27+'111'!I52</f>
        <v>116794495</v>
      </c>
      <c r="J3" s="776">
        <f t="shared" ref="J3:J16" si="2">G3-H3</f>
        <v>0</v>
      </c>
      <c r="K3" s="777">
        <f t="shared" ref="K3:K16" si="3">G3-I3</f>
        <v>0</v>
      </c>
      <c r="L3" s="773">
        <f>SUMIFS(Титульный!$Q$69:$Q$292,Титульный!$L$69:$L$292,'Проверочная таблица'!A3)</f>
        <v>116794495</v>
      </c>
      <c r="M3" s="774">
        <f>'2'!H40</f>
        <v>116794495</v>
      </c>
      <c r="N3" s="775">
        <f>'111'!J38+'111'!I57</f>
        <v>116794495</v>
      </c>
      <c r="O3" s="778">
        <f t="shared" ref="O3:O16" si="4">L3-M3</f>
        <v>0</v>
      </c>
      <c r="P3" s="779">
        <f t="shared" ref="P3:P16" si="5">L3-N3</f>
        <v>0</v>
      </c>
      <c r="Q3" s="363"/>
    </row>
    <row r="4" spans="1:17" ht="17.25" customHeight="1">
      <c r="A4" s="1022">
        <v>112</v>
      </c>
      <c r="B4" s="766">
        <f>SUMIFS(Титульный!$O$69:$O$292,Титульный!$L$69:$L$292,'Проверочная таблица'!A4)</f>
        <v>1633099.25</v>
      </c>
      <c r="C4" s="767">
        <f>'2'!F43</f>
        <v>1633099.25</v>
      </c>
      <c r="D4" s="768">
        <f>'112, 113'!D13</f>
        <v>1633099.25</v>
      </c>
      <c r="E4" s="771">
        <f t="shared" si="0"/>
        <v>0</v>
      </c>
      <c r="F4" s="772">
        <f t="shared" si="1"/>
        <v>0</v>
      </c>
      <c r="G4" s="766">
        <f>SUMIFS(Титульный!$P$69:$P$292,Титульный!$L$69:$L$292,'Проверочная таблица'!A4)</f>
        <v>1722605.8599999999</v>
      </c>
      <c r="H4" s="767">
        <f>'2'!G43</f>
        <v>1722605.8599999999</v>
      </c>
      <c r="I4" s="768">
        <f>'112, 113'!H13</f>
        <v>1722605.8599999999</v>
      </c>
      <c r="J4" s="771">
        <f t="shared" si="2"/>
        <v>0</v>
      </c>
      <c r="K4" s="772">
        <f t="shared" si="3"/>
        <v>0</v>
      </c>
      <c r="L4" s="766">
        <f>SUMIFS(Титульный!$Q$69:$Q$292,Титульный!$L$69:$L$292,'Проверочная таблица'!A4)</f>
        <v>1722605.8599999999</v>
      </c>
      <c r="M4" s="767">
        <f>'2'!H43</f>
        <v>1722605.8599999999</v>
      </c>
      <c r="N4" s="768">
        <f>'112, 113'!L13</f>
        <v>1722605.8599999999</v>
      </c>
      <c r="O4" s="769">
        <f t="shared" si="4"/>
        <v>0</v>
      </c>
      <c r="P4" s="770">
        <f t="shared" si="5"/>
        <v>0</v>
      </c>
      <c r="Q4" s="363"/>
    </row>
    <row r="5" spans="1:17" ht="17.25" customHeight="1">
      <c r="A5" s="1022">
        <v>113</v>
      </c>
      <c r="B5" s="766">
        <f>SUMIFS(Титульный!$O$69:$O$292,Титульный!$L$69:$L$292,'Проверочная таблица'!A5)</f>
        <v>0</v>
      </c>
      <c r="C5" s="767">
        <f>'2'!F48</f>
        <v>0</v>
      </c>
      <c r="D5" s="768">
        <f>'112, 113'!F101</f>
        <v>0</v>
      </c>
      <c r="E5" s="771">
        <f t="shared" si="0"/>
        <v>0</v>
      </c>
      <c r="F5" s="772">
        <f t="shared" si="1"/>
        <v>0</v>
      </c>
      <c r="G5" s="766">
        <f>SUMIFS(Титульный!$P$69:$P$292,Титульный!$L$69:$L$292,'Проверочная таблица'!A5)</f>
        <v>0</v>
      </c>
      <c r="H5" s="767">
        <f>'2'!G48</f>
        <v>0</v>
      </c>
      <c r="I5" s="768">
        <f>'112, 113'!J99</f>
        <v>0</v>
      </c>
      <c r="J5" s="771">
        <f t="shared" si="2"/>
        <v>0</v>
      </c>
      <c r="K5" s="772">
        <f t="shared" si="3"/>
        <v>0</v>
      </c>
      <c r="L5" s="766">
        <f>SUMIFS(Титульный!$Q$69:$Q$292,Титульный!$L$69:$L$292,'Проверочная таблица'!A5)</f>
        <v>0</v>
      </c>
      <c r="M5" s="767">
        <f>'2'!H48</f>
        <v>0</v>
      </c>
      <c r="N5" s="768">
        <f>'112, 113'!N99</f>
        <v>0</v>
      </c>
      <c r="O5" s="769">
        <f t="shared" si="4"/>
        <v>0</v>
      </c>
      <c r="P5" s="770">
        <f t="shared" si="5"/>
        <v>0</v>
      </c>
      <c r="Q5" s="363"/>
    </row>
    <row r="6" spans="1:17" ht="17.25" customHeight="1">
      <c r="A6" s="1022">
        <v>119</v>
      </c>
      <c r="B6" s="766">
        <f>SUMIFS(Титульный!$O$69:$O$292,Титульный!$L$69:$L$292,'Проверочная таблица'!A6)</f>
        <v>35143377.239999995</v>
      </c>
      <c r="C6" s="767">
        <f>'2'!F49</f>
        <v>35143377.239999995</v>
      </c>
      <c r="D6" s="768">
        <f>'119, 321, 323, 350, 851, 852'!F18+'119, 321, 323, 350, 851, 852'!F38</f>
        <v>35143377.239999995</v>
      </c>
      <c r="E6" s="771">
        <f t="shared" si="0"/>
        <v>0</v>
      </c>
      <c r="F6" s="772">
        <f t="shared" si="1"/>
        <v>0</v>
      </c>
      <c r="G6" s="766">
        <f>SUMIFS(Титульный!$P$69:$P$292,Титульный!$L$69:$L$292,'Проверочная таблица'!A6)</f>
        <v>35256459</v>
      </c>
      <c r="H6" s="767">
        <f>'2'!G49</f>
        <v>35256459</v>
      </c>
      <c r="I6" s="768">
        <f>'119, 321, 323, 350, 851, 852'!I18+'119, 321, 323, 350, 851, 852'!I38</f>
        <v>35256459</v>
      </c>
      <c r="J6" s="771">
        <f t="shared" si="2"/>
        <v>0</v>
      </c>
      <c r="K6" s="772">
        <f t="shared" si="3"/>
        <v>0</v>
      </c>
      <c r="L6" s="766">
        <f>SUMIFS(Титульный!$Q$69:$Q$292,Титульный!$L$69:$L$292,'Проверочная таблица'!A6)</f>
        <v>35256459</v>
      </c>
      <c r="M6" s="767">
        <f>'2'!H49</f>
        <v>35256459</v>
      </c>
      <c r="N6" s="768">
        <f>'119, 321, 323, 350, 851, 852'!L18+'119, 321, 323, 350, 851, 852'!L38</f>
        <v>35256459</v>
      </c>
      <c r="O6" s="769">
        <f t="shared" si="4"/>
        <v>0</v>
      </c>
      <c r="P6" s="770">
        <f t="shared" si="5"/>
        <v>0</v>
      </c>
      <c r="Q6" s="363"/>
    </row>
    <row r="7" spans="1:17" ht="17.25" customHeight="1">
      <c r="A7" s="1022">
        <v>321</v>
      </c>
      <c r="B7" s="766">
        <f>SUMIFS(Титульный!$O$69:$O$292,Титульный!$L$69:$L$292,'Проверочная таблица'!A7)</f>
        <v>328484.37</v>
      </c>
      <c r="C7" s="767">
        <f>'2'!F60+'2'!F61+'2'!F62</f>
        <v>328484.37</v>
      </c>
      <c r="D7" s="768">
        <f>'119, 321, 323, 350, 851, 852'!F70-'119, 321, 323, 350, 851, 852'!F66</f>
        <v>328484.37</v>
      </c>
      <c r="E7" s="771">
        <f t="shared" si="0"/>
        <v>0</v>
      </c>
      <c r="F7" s="772">
        <f t="shared" si="1"/>
        <v>0</v>
      </c>
      <c r="G7" s="766">
        <f>SUMIFS(Титульный!$P$69:$P$292,Титульный!$L$69:$L$292,'Проверочная таблица'!A7)</f>
        <v>0</v>
      </c>
      <c r="H7" s="767">
        <f>'2'!G60+'2'!G61+'2'!G62</f>
        <v>0</v>
      </c>
      <c r="I7" s="768">
        <f>'119, 321, 323, 350, 851, 852'!I70-'119, 321, 323, 350, 851, 852'!I66</f>
        <v>0</v>
      </c>
      <c r="J7" s="771">
        <f t="shared" si="2"/>
        <v>0</v>
      </c>
      <c r="K7" s="772">
        <f t="shared" si="3"/>
        <v>0</v>
      </c>
      <c r="L7" s="766">
        <f>SUMIFS(Титульный!$Q$69:$Q$292,Титульный!$L$69:$L$292,'Проверочная таблица'!A7)</f>
        <v>0</v>
      </c>
      <c r="M7" s="767">
        <f>'2'!H60+'2'!H61+'2'!H62</f>
        <v>0</v>
      </c>
      <c r="N7" s="768">
        <f>'119, 321, 323, 350, 851, 852'!L70-'119, 321, 323, 350, 851, 852'!L66</f>
        <v>0</v>
      </c>
      <c r="O7" s="769">
        <f t="shared" si="4"/>
        <v>0</v>
      </c>
      <c r="P7" s="770">
        <f t="shared" si="5"/>
        <v>0</v>
      </c>
      <c r="Q7" s="363"/>
    </row>
    <row r="8" spans="1:17" ht="17.25" customHeight="1">
      <c r="A8" s="1022">
        <v>323</v>
      </c>
      <c r="B8" s="766">
        <f>SUMIFS(Титульный!$O$69:$O$292,Титульный!$L$69:$L$292,'Проверочная таблица'!A8)</f>
        <v>0</v>
      </c>
      <c r="C8" s="767">
        <f>'2'!F63</f>
        <v>0</v>
      </c>
      <c r="D8" s="768">
        <f>'119, 321, 323, 350, 851, 852'!F66</f>
        <v>0</v>
      </c>
      <c r="E8" s="771">
        <f t="shared" si="0"/>
        <v>0</v>
      </c>
      <c r="F8" s="772">
        <f t="shared" si="1"/>
        <v>0</v>
      </c>
      <c r="G8" s="766">
        <f>SUMIFS(Титульный!$P$69:$P$292,Титульный!$L$69:$L$292,'Проверочная таблица'!A8)</f>
        <v>0</v>
      </c>
      <c r="H8" s="767">
        <f>'2'!G63</f>
        <v>0</v>
      </c>
      <c r="I8" s="768">
        <f>'119, 321, 323, 350, 851, 852'!I66</f>
        <v>0</v>
      </c>
      <c r="J8" s="771">
        <f t="shared" si="2"/>
        <v>0</v>
      </c>
      <c r="K8" s="772">
        <f t="shared" si="3"/>
        <v>0</v>
      </c>
      <c r="L8" s="766">
        <f>SUMIFS(Титульный!$Q$69:$Q$292,Титульный!$L$69:$L$292,'Проверочная таблица'!A8)</f>
        <v>0</v>
      </c>
      <c r="M8" s="767">
        <f>'2'!H63</f>
        <v>0</v>
      </c>
      <c r="N8" s="768">
        <f>'119, 321, 323, 350, 851, 852'!L66</f>
        <v>0</v>
      </c>
      <c r="O8" s="769">
        <f t="shared" si="4"/>
        <v>0</v>
      </c>
      <c r="P8" s="770">
        <f t="shared" si="5"/>
        <v>0</v>
      </c>
      <c r="Q8" s="363"/>
    </row>
    <row r="9" spans="1:17" ht="17.25" customHeight="1">
      <c r="A9" s="1022">
        <v>350</v>
      </c>
      <c r="B9" s="766">
        <f>SUMIFS(Титульный!$O$69:$O$292,Титульный!$L$69:$L$292,'Проверочная таблица'!A9)</f>
        <v>0</v>
      </c>
      <c r="C9" s="767">
        <f>'2'!F65</f>
        <v>0</v>
      </c>
      <c r="D9" s="768">
        <f>'119, 321, 323, 350, 851, 852'!F107</f>
        <v>0</v>
      </c>
      <c r="E9" s="771">
        <f t="shared" si="0"/>
        <v>0</v>
      </c>
      <c r="F9" s="772">
        <f t="shared" si="1"/>
        <v>0</v>
      </c>
      <c r="G9" s="766">
        <f>SUMIFS(Титульный!$P$69:$P$292,Титульный!$L$69:$L$292,'Проверочная таблица'!A9)</f>
        <v>0</v>
      </c>
      <c r="H9" s="767">
        <f>'2'!G65</f>
        <v>0</v>
      </c>
      <c r="I9" s="768">
        <f>'119, 321, 323, 350, 851, 852'!I107</f>
        <v>0</v>
      </c>
      <c r="J9" s="771">
        <f t="shared" si="2"/>
        <v>0</v>
      </c>
      <c r="K9" s="772">
        <f t="shared" si="3"/>
        <v>0</v>
      </c>
      <c r="L9" s="766">
        <f>SUMIFS(Титульный!$Q$69:$Q$292,Титульный!$L$69:$L$292,'Проверочная таблица'!A9)</f>
        <v>0</v>
      </c>
      <c r="M9" s="767">
        <f>'2'!H65</f>
        <v>0</v>
      </c>
      <c r="N9" s="768">
        <f>'119, 321, 323, 350, 851, 852'!L107</f>
        <v>0</v>
      </c>
      <c r="O9" s="769">
        <f t="shared" si="4"/>
        <v>0</v>
      </c>
      <c r="P9" s="770">
        <f t="shared" si="5"/>
        <v>0</v>
      </c>
      <c r="Q9" s="363"/>
    </row>
    <row r="10" spans="1:17" ht="17.25" customHeight="1">
      <c r="A10" s="1022">
        <v>244</v>
      </c>
      <c r="B10" s="766">
        <f>SUMIFS(Титульный!$O$69:$O$292,Титульный!$L$69:$L$292,'Проверочная таблица'!A10)</f>
        <v>14885842.999999998</v>
      </c>
      <c r="C10" s="767">
        <f>'2'!F83</f>
        <v>14885842.999999998</v>
      </c>
      <c r="D10" s="907">
        <f>'КФО 2'!H13+'КФО 2'!G23+'КФО 2'!G36+'КФО 2'!G48+'КФО 2'!G97+'КФО 2'!G122+'КФО 2'!E134+'КФО 2'!G146+'КФО 2'!G164+'КФО 2'!G191
+'КФО 4'!H13+'КФО 4'!G23+'КФО 4'!G37+'КФО 4'!G49+'КФО 4'!G99+'КФО 4'!G126+'КФО 4'!E138+'КФО 4'!G150+'КФО 4'!G169+'КФО 4'!G186
+'КФО 5'!H13+'КФО 5'!G23+'КФО 5'!G37+'КФО 5'!G49+'КФО 5'!G98+'КФО 5'!G122+'КФО 5'!E134+'КФО 5'!G146+'КФО 5'!G164+'КФО 5'!G181
-'КФО 2'!G108-'КФО 4'!G97
-'КФО 2'!G32-'КФО 2'!G33-'КФО 4'!G32-'КФО 4'!G33</f>
        <v>15987943</v>
      </c>
      <c r="E10" s="771">
        <f t="shared" si="0"/>
        <v>0</v>
      </c>
      <c r="F10" s="772">
        <f t="shared" si="1"/>
        <v>-1102100.0000000019</v>
      </c>
      <c r="G10" s="766">
        <f>SUMIFS(Титульный!$P$69:$P$292,Титульный!$L$69:$L$292,'Проверочная таблица'!A10)</f>
        <v>8722227.1999999993</v>
      </c>
      <c r="H10" s="767">
        <f>'2'!G83</f>
        <v>8722227.1999999993</v>
      </c>
      <c r="I10" s="907">
        <f>'КФО 2'!L13+'КФО 2'!K23+'КФО 2'!K36+'КФО 2'!K48+'КФО 2'!K97+'КФО 2'!K122+'КФО 2'!I134+'КФО 2'!K146+'КФО 2'!K164+'КФО 2'!K191
+'КФО 4'!L13+'КФО 4'!K23+'КФО 4'!K37+'КФО 4'!K49+'КФО 4'!K99+'КФО 4'!K126+'КФО 4'!I138+'КФО 4'!K150+'КФО 4'!K169+'КФО 4'!K186
+'КФО 5'!L13+'КФО 5'!K23+'КФО 5'!K37+'КФО 5'!K49+'КФО 5'!K98+'КФО 5'!K122+'КФО 5'!I134+'КФО 5'!K146+'КФО 5'!K164+'КФО 5'!K181
-'КФО 2'!K108-'КФО 4'!K97
-'КФО 2'!K32-'КФО 2'!K33-'КФО 4'!K32-'КФО 4'!K33</f>
        <v>9781627.1999999993</v>
      </c>
      <c r="J10" s="771">
        <f t="shared" si="2"/>
        <v>0</v>
      </c>
      <c r="K10" s="772">
        <f t="shared" si="3"/>
        <v>-1059400</v>
      </c>
      <c r="L10" s="766">
        <f>SUMIFS(Титульный!$Q$69:$Q$292,Титульный!$L$69:$L$292,'Проверочная таблица'!A10)</f>
        <v>8722227.1999999993</v>
      </c>
      <c r="M10" s="767">
        <f>'2'!H83</f>
        <v>8722227.1999999993</v>
      </c>
      <c r="N10" s="907">
        <f>'КФО 2'!P13+'КФО 2'!O23+'КФО 2'!O36+'КФО 2'!O48+'КФО 2'!O97+'КФО 2'!O122+'КФО 2'!M134+'КФО 2'!O146+'КФО 2'!O164+'КФО 2'!O191
+'КФО 4'!P13+'КФО 4'!O23+'КФО 4'!O37+'КФО 4'!O49+'КФО 4'!O99+'КФО 4'!O126+'КФО 4'!M138+'КФО 4'!O150+'КФО 4'!O169+'КФО 4'!O186
+'КФО 5'!P13+'КФО 5'!O23+'КФО 5'!O37+'КФО 5'!O49+'КФО 5'!O98+'КФО 5'!O122+'КФО 5'!M134+'КФО 5'!O146+'КФО 5'!O164+'КФО 5'!O181
-'КФО 2'!O108-'КФО 4'!O97
-'КФО 2'!O32-'КФО 2'!O33-'КФО 4'!O32-'КФО 4'!O33</f>
        <v>9781627.1999999993</v>
      </c>
      <c r="O10" s="769">
        <f t="shared" si="4"/>
        <v>0</v>
      </c>
      <c r="P10" s="770">
        <f t="shared" si="5"/>
        <v>-1059400</v>
      </c>
      <c r="Q10" s="363"/>
    </row>
    <row r="11" spans="1:17" ht="17.25" customHeight="1">
      <c r="A11" s="1022">
        <v>245</v>
      </c>
      <c r="B11" s="766">
        <f>SUMIFS(Титульный!$O$69:$O$292,Титульный!$L$69:$L$292,'Проверочная таблица'!A11)</f>
        <v>0</v>
      </c>
      <c r="C11" s="767">
        <f>'2'!F98</f>
        <v>0</v>
      </c>
      <c r="D11" s="768">
        <f>'КФО 2'!G108+'КФО 4'!G97</f>
        <v>0</v>
      </c>
      <c r="E11" s="771">
        <f t="shared" si="0"/>
        <v>0</v>
      </c>
      <c r="F11" s="772">
        <f t="shared" si="1"/>
        <v>0</v>
      </c>
      <c r="G11" s="766">
        <f>SUMIFS(Титульный!$P$69:$P$292,Титульный!$L$69:$L$292,'Проверочная таблица'!A11)</f>
        <v>0</v>
      </c>
      <c r="H11" s="767">
        <f>'2'!G98</f>
        <v>0</v>
      </c>
      <c r="I11" s="768">
        <f>'КФО 2'!K108+'КФО 4'!K97</f>
        <v>0</v>
      </c>
      <c r="J11" s="771">
        <f t="shared" si="2"/>
        <v>0</v>
      </c>
      <c r="K11" s="772">
        <f t="shared" si="3"/>
        <v>0</v>
      </c>
      <c r="L11" s="766">
        <f>SUMIFS(Титульный!$Q$69:$Q$292,Титульный!$L$69:$L$292,'Проверочная таблица'!A11)</f>
        <v>0</v>
      </c>
      <c r="M11" s="767">
        <f>'2'!H98</f>
        <v>0</v>
      </c>
      <c r="N11" s="768">
        <f>'КФО 2'!O108+'КФО 4'!O97</f>
        <v>0</v>
      </c>
      <c r="O11" s="769">
        <f t="shared" si="4"/>
        <v>0</v>
      </c>
      <c r="P11" s="770">
        <f t="shared" si="5"/>
        <v>0</v>
      </c>
      <c r="Q11" s="363"/>
    </row>
    <row r="12" spans="1:17" ht="17.25" customHeight="1">
      <c r="A12" s="1022">
        <v>247</v>
      </c>
      <c r="B12" s="766">
        <f>SUMIFS(Титульный!$O$69:$O$292,Титульный!$L$69:$L$292,'Проверочная таблица'!A12)</f>
        <v>16791012.420000002</v>
      </c>
      <c r="C12" s="767">
        <f>'2'!F97</f>
        <v>16791012.420000002</v>
      </c>
      <c r="D12" s="768">
        <f>'КФО 2'!G32+'КФО 2'!G33+'КФО 4'!G32+'КФО 4'!G33</f>
        <v>15688912.42</v>
      </c>
      <c r="E12" s="771">
        <f t="shared" si="0"/>
        <v>0</v>
      </c>
      <c r="F12" s="772">
        <f t="shared" si="1"/>
        <v>1102100.0000000019</v>
      </c>
      <c r="G12" s="766">
        <f>SUMIFS(Титульный!$P$69:$P$292,Титульный!$L$69:$L$292,'Проверочная таблица'!A12)</f>
        <v>17584600</v>
      </c>
      <c r="H12" s="767">
        <f>'2'!G97</f>
        <v>17584600</v>
      </c>
      <c r="I12" s="768">
        <f>'КФО 2'!K32+'КФО 2'!K33+'КФО 4'!K32+'КФО 4'!K33</f>
        <v>16525200</v>
      </c>
      <c r="J12" s="771">
        <f t="shared" si="2"/>
        <v>0</v>
      </c>
      <c r="K12" s="772">
        <f t="shared" si="3"/>
        <v>1059400</v>
      </c>
      <c r="L12" s="766">
        <f>SUMIFS(Титульный!$Q$69:$Q$292,Титульный!$L$69:$L$292,'Проверочная таблица'!A12)</f>
        <v>17584600</v>
      </c>
      <c r="M12" s="767">
        <f>'2'!H97</f>
        <v>17584600</v>
      </c>
      <c r="N12" s="768">
        <f>'КФО 2'!O32+'КФО 2'!O33+'КФО 4'!O32+'КФО 4'!O33</f>
        <v>16525200</v>
      </c>
      <c r="O12" s="769">
        <f t="shared" si="4"/>
        <v>0</v>
      </c>
      <c r="P12" s="770">
        <f t="shared" si="5"/>
        <v>1059400</v>
      </c>
      <c r="Q12" s="363"/>
    </row>
    <row r="13" spans="1:17" ht="17.25" customHeight="1">
      <c r="A13" s="1022">
        <v>831</v>
      </c>
      <c r="B13" s="766">
        <f>SUMIFS(Титульный!$O$69:$O$292,Титульный!$L$69:$L$292,'Проверочная таблица'!A13)</f>
        <v>0</v>
      </c>
      <c r="C13" s="767">
        <f>'2'!F79</f>
        <v>0</v>
      </c>
      <c r="D13" s="768">
        <f>'119, 321, 323, 350, 851, 852'!D131</f>
        <v>0</v>
      </c>
      <c r="E13" s="771">
        <f t="shared" si="0"/>
        <v>0</v>
      </c>
      <c r="F13" s="772">
        <f t="shared" si="1"/>
        <v>0</v>
      </c>
      <c r="G13" s="766">
        <f>SUMIFS(Титульный!$P$69:$P$292,Титульный!$L$69:$L$292,'Проверочная таблица'!A13)</f>
        <v>0</v>
      </c>
      <c r="H13" s="767">
        <f>'2'!G79</f>
        <v>0</v>
      </c>
      <c r="I13" s="768">
        <f>'119, 321, 323, 350, 851, 852'!G131</f>
        <v>0</v>
      </c>
      <c r="J13" s="771">
        <f t="shared" si="2"/>
        <v>0</v>
      </c>
      <c r="K13" s="772">
        <f t="shared" si="3"/>
        <v>0</v>
      </c>
      <c r="L13" s="766">
        <f>SUMIFS(Титульный!$Q$69:$Q$292,Титульный!$L$69:$L$292,'Проверочная таблица'!A13)</f>
        <v>0</v>
      </c>
      <c r="M13" s="767">
        <f>'2'!H79</f>
        <v>0</v>
      </c>
      <c r="N13" s="768">
        <f>'119, 321, 323, 350, 851, 852'!J131</f>
        <v>0</v>
      </c>
      <c r="O13" s="769">
        <f t="shared" si="4"/>
        <v>0</v>
      </c>
      <c r="P13" s="770">
        <f t="shared" si="5"/>
        <v>0</v>
      </c>
      <c r="Q13" s="363"/>
    </row>
    <row r="14" spans="1:17" ht="17.25" customHeight="1">
      <c r="A14" s="1022">
        <v>851</v>
      </c>
      <c r="B14" s="766">
        <f>SUMIFS(Титульный!$O$69:$O$292,Титульный!$L$69:$L$292,'Проверочная таблица'!A14)</f>
        <v>3894095.84</v>
      </c>
      <c r="C14" s="767">
        <f>'2'!F68</f>
        <v>3894095.84</v>
      </c>
      <c r="D14" s="768">
        <f>'119, 321, 323, 350, 851, 852'!F85</f>
        <v>3894095.84</v>
      </c>
      <c r="E14" s="771">
        <f t="shared" si="0"/>
        <v>0</v>
      </c>
      <c r="F14" s="772">
        <f t="shared" si="1"/>
        <v>0</v>
      </c>
      <c r="G14" s="766">
        <f>SUMIFS(Титульный!$P$69:$P$292,Титульный!$L$69:$L$292,'Проверочная таблица'!A14)</f>
        <v>3821800</v>
      </c>
      <c r="H14" s="767">
        <f>'2'!G68</f>
        <v>3821800</v>
      </c>
      <c r="I14" s="768">
        <f>'119, 321, 323, 350, 851, 852'!I85</f>
        <v>3821800</v>
      </c>
      <c r="J14" s="771">
        <f t="shared" si="2"/>
        <v>0</v>
      </c>
      <c r="K14" s="772">
        <f t="shared" si="3"/>
        <v>0</v>
      </c>
      <c r="L14" s="766">
        <f>SUMIFS(Титульный!$Q$69:$Q$292,Титульный!$L$69:$L$292,'Проверочная таблица'!A14)</f>
        <v>3775500</v>
      </c>
      <c r="M14" s="767">
        <f>'2'!H68</f>
        <v>3775500</v>
      </c>
      <c r="N14" s="768">
        <f>'119, 321, 323, 350, 851, 852'!L85</f>
        <v>3775500</v>
      </c>
      <c r="O14" s="769">
        <f t="shared" si="4"/>
        <v>0</v>
      </c>
      <c r="P14" s="770">
        <f t="shared" si="5"/>
        <v>0</v>
      </c>
      <c r="Q14" s="363"/>
    </row>
    <row r="15" spans="1:17" ht="17.25" customHeight="1">
      <c r="A15" s="1022">
        <v>852</v>
      </c>
      <c r="B15" s="766">
        <f>SUMIFS(Титульный!$O$69:$O$292,Титульный!$L$69:$L$292,'Проверочная таблица'!A15)</f>
        <v>0</v>
      </c>
      <c r="C15" s="767">
        <f>'2'!F69</f>
        <v>0</v>
      </c>
      <c r="D15" s="768">
        <f>'119, 321, 323, 350, 851, 852'!F96</f>
        <v>0</v>
      </c>
      <c r="E15" s="771">
        <f t="shared" si="0"/>
        <v>0</v>
      </c>
      <c r="F15" s="772">
        <f t="shared" si="1"/>
        <v>0</v>
      </c>
      <c r="G15" s="766">
        <f>SUMIFS(Титульный!$P$69:$P$292,Титульный!$L$69:$L$292,'Проверочная таблица'!A15)</f>
        <v>0</v>
      </c>
      <c r="H15" s="767">
        <f>'2'!G69</f>
        <v>0</v>
      </c>
      <c r="I15" s="768">
        <f>'119, 321, 323, 350, 851, 852'!I96</f>
        <v>0</v>
      </c>
      <c r="J15" s="771">
        <f t="shared" si="2"/>
        <v>0</v>
      </c>
      <c r="K15" s="772">
        <f t="shared" si="3"/>
        <v>0</v>
      </c>
      <c r="L15" s="766">
        <f>SUMIFS(Титульный!$Q$69:$Q$292,Титульный!$L$69:$L$292,'Проверочная таблица'!A15)</f>
        <v>0</v>
      </c>
      <c r="M15" s="767">
        <f>'2'!H69</f>
        <v>0</v>
      </c>
      <c r="N15" s="768">
        <f>'119, 321, 323, 350, 851, 852'!L96</f>
        <v>0</v>
      </c>
      <c r="O15" s="769">
        <f t="shared" si="4"/>
        <v>0</v>
      </c>
      <c r="P15" s="770">
        <f t="shared" si="5"/>
        <v>0</v>
      </c>
      <c r="Q15" s="363"/>
    </row>
    <row r="16" spans="1:17" ht="17.25" customHeight="1">
      <c r="A16" s="1023">
        <v>853</v>
      </c>
      <c r="B16" s="802">
        <f>SUMIFS(Титульный!$O$69:$O$292,Титульный!$L$69:$L$292,'Проверочная таблица'!A16)</f>
        <v>30000</v>
      </c>
      <c r="C16" s="803">
        <f>'2'!F70</f>
        <v>30000</v>
      </c>
      <c r="D16" s="804">
        <f>'119, 321, 323, 350, 851, 852'!F120</f>
        <v>30000</v>
      </c>
      <c r="E16" s="805">
        <f t="shared" si="0"/>
        <v>0</v>
      </c>
      <c r="F16" s="806">
        <f t="shared" si="1"/>
        <v>0</v>
      </c>
      <c r="G16" s="802">
        <f>SUMIFS(Титульный!$P$69:$P$292,Титульный!$L$69:$L$292,'Проверочная таблица'!A16)</f>
        <v>0</v>
      </c>
      <c r="H16" s="803">
        <f>'2'!G70</f>
        <v>0</v>
      </c>
      <c r="I16" s="804">
        <f>'119, 321, 323, 350, 851, 852'!I120</f>
        <v>0</v>
      </c>
      <c r="J16" s="805">
        <f t="shared" si="2"/>
        <v>0</v>
      </c>
      <c r="K16" s="806">
        <f t="shared" si="3"/>
        <v>0</v>
      </c>
      <c r="L16" s="802">
        <f>SUMIFS(Титульный!$Q$69:$Q$292,Титульный!$L$69:$L$292,'Проверочная таблица'!A16)</f>
        <v>0</v>
      </c>
      <c r="M16" s="803">
        <f>'2'!H70</f>
        <v>0</v>
      </c>
      <c r="N16" s="804">
        <f>'119, 321, 323, 350, 851, 852'!L120</f>
        <v>0</v>
      </c>
      <c r="O16" s="807">
        <f t="shared" si="4"/>
        <v>0</v>
      </c>
      <c r="P16" s="808">
        <f t="shared" si="5"/>
        <v>0</v>
      </c>
      <c r="Q16" s="363"/>
    </row>
    <row r="17" spans="1:17" ht="17.25" customHeight="1">
      <c r="A17" s="1024"/>
      <c r="B17" s="757"/>
      <c r="C17" s="758"/>
      <c r="D17" s="759"/>
      <c r="E17" s="748"/>
      <c r="F17" s="749"/>
      <c r="G17" s="757"/>
      <c r="H17" s="758"/>
      <c r="I17" s="759"/>
      <c r="J17" s="748"/>
      <c r="K17" s="749"/>
      <c r="L17" s="757"/>
      <c r="M17" s="758"/>
      <c r="N17" s="759"/>
      <c r="O17" s="753"/>
      <c r="P17" s="754"/>
      <c r="Q17" s="363"/>
    </row>
    <row r="18" spans="1:17" ht="21.75" customHeight="1">
      <c r="A18" s="1025" t="s">
        <v>856</v>
      </c>
      <c r="B18" s="781">
        <f>доходы!J21+доходы!D39+доходы!D78+доходы!D102+доходы!D113+доходы!J125</f>
        <v>188396006.71000001</v>
      </c>
      <c r="C18" s="815"/>
      <c r="D18" s="815"/>
      <c r="E18" s="782"/>
      <c r="F18" s="783"/>
      <c r="G18" s="781">
        <f>доходы!K21+доходы!G39+доходы!G78+доходы!G102+доходы!G113+доходы!K125+доходы!K135</f>
        <v>183902187.06</v>
      </c>
      <c r="H18" s="782"/>
      <c r="I18" s="782"/>
      <c r="J18" s="782"/>
      <c r="K18" s="783"/>
      <c r="L18" s="781">
        <f>доходы!L21+доходы!J39+доходы!L52+доходы!J78+доходы!J102+доходы!J113+доходы!L125+доходы!L135</f>
        <v>183855887.06</v>
      </c>
      <c r="M18" s="784"/>
      <c r="N18" s="785"/>
      <c r="O18" s="785"/>
      <c r="P18" s="786"/>
    </row>
    <row r="19" spans="1:17" ht="21.75" customHeight="1">
      <c r="A19" s="1026" t="s">
        <v>735</v>
      </c>
      <c r="B19" s="760">
        <f>Титульный!V45+Титульный!W45+Титульный!X45</f>
        <v>1603376.45</v>
      </c>
      <c r="C19" s="761"/>
      <c r="D19" s="761"/>
      <c r="E19" s="761"/>
      <c r="F19" s="762"/>
      <c r="G19" s="760">
        <v>0</v>
      </c>
      <c r="H19" s="761"/>
      <c r="I19" s="761"/>
      <c r="J19" s="761"/>
      <c r="K19" s="762"/>
      <c r="L19" s="760">
        <v>0</v>
      </c>
      <c r="M19" s="763"/>
      <c r="N19" s="764"/>
      <c r="O19" s="764"/>
      <c r="P19" s="765"/>
    </row>
    <row r="20" spans="1:17" ht="21.75" customHeight="1">
      <c r="A20" s="1027" t="s">
        <v>736</v>
      </c>
      <c r="B20" s="793">
        <f>Титульный!V46+Титульный!W46+Титульный!X46</f>
        <v>3999.75</v>
      </c>
      <c r="C20" s="794"/>
      <c r="D20" s="794"/>
      <c r="E20" s="794"/>
      <c r="F20" s="795"/>
      <c r="G20" s="793">
        <v>0</v>
      </c>
      <c r="H20" s="794"/>
      <c r="I20" s="794"/>
      <c r="J20" s="794"/>
      <c r="K20" s="795"/>
      <c r="L20" s="793">
        <v>0</v>
      </c>
      <c r="M20" s="796"/>
      <c r="N20" s="797"/>
      <c r="O20" s="797"/>
      <c r="P20" s="798"/>
    </row>
    <row r="21" spans="1:17" ht="21.75" customHeight="1">
      <c r="A21" s="1028" t="s">
        <v>892</v>
      </c>
      <c r="B21" s="799">
        <f>SUM(B3:B16)</f>
        <v>190003382.91</v>
      </c>
      <c r="C21" s="800"/>
      <c r="D21" s="800"/>
      <c r="E21" s="800"/>
      <c r="F21" s="801"/>
      <c r="G21" s="787">
        <f>SUM(G3:G16)</f>
        <v>183902187.06</v>
      </c>
      <c r="H21" s="788"/>
      <c r="I21" s="788"/>
      <c r="J21" s="788"/>
      <c r="K21" s="789"/>
      <c r="L21" s="787">
        <f>SUM(L3:L16)</f>
        <v>183855887.06</v>
      </c>
      <c r="M21" s="790"/>
      <c r="N21" s="791"/>
      <c r="O21" s="791"/>
      <c r="P21" s="792"/>
      <c r="Q21" s="363"/>
    </row>
    <row r="22" spans="1:17" ht="21.75" customHeight="1">
      <c r="A22" s="1027" t="s">
        <v>893</v>
      </c>
      <c r="B22" s="793">
        <f>Титульный!V47+Титульный!W47+Титульный!X47</f>
        <v>0</v>
      </c>
      <c r="C22" s="794"/>
      <c r="D22" s="794"/>
      <c r="E22" s="794"/>
      <c r="F22" s="795"/>
      <c r="G22" s="793">
        <v>0</v>
      </c>
      <c r="H22" s="794"/>
      <c r="I22" s="794"/>
      <c r="J22" s="794"/>
      <c r="K22" s="795"/>
      <c r="L22" s="793">
        <v>0</v>
      </c>
      <c r="M22" s="796"/>
      <c r="N22" s="797"/>
      <c r="O22" s="797"/>
      <c r="P22" s="798"/>
      <c r="Q22" s="363"/>
    </row>
    <row r="23" spans="1:17" ht="21.75" customHeight="1">
      <c r="A23" s="1026" t="s">
        <v>855</v>
      </c>
      <c r="B23" s="760">
        <f>'2'!F104</f>
        <v>0</v>
      </c>
      <c r="C23" s="761"/>
      <c r="D23" s="761"/>
      <c r="E23" s="761"/>
      <c r="F23" s="762"/>
      <c r="G23" s="760">
        <f>'2'!G104</f>
        <v>0</v>
      </c>
      <c r="H23" s="761"/>
      <c r="I23" s="761"/>
      <c r="J23" s="761"/>
      <c r="K23" s="762"/>
      <c r="L23" s="760">
        <f>'2'!H104</f>
        <v>0</v>
      </c>
      <c r="M23" s="763"/>
      <c r="N23" s="764"/>
      <c r="O23" s="764"/>
      <c r="P23" s="765"/>
      <c r="Q23" s="363"/>
    </row>
    <row r="24" spans="1:17" ht="21.75" customHeight="1">
      <c r="A24" s="1051" t="s">
        <v>916</v>
      </c>
      <c r="B24" s="809">
        <f>SUM(B18:B20)-SUM(B21:B22)</f>
        <v>0</v>
      </c>
      <c r="C24" s="810"/>
      <c r="D24" s="810"/>
      <c r="E24" s="810"/>
      <c r="F24" s="811"/>
      <c r="G24" s="809">
        <f>SUM(G18:G20)-SUM(G21:G22)</f>
        <v>0</v>
      </c>
      <c r="H24" s="810"/>
      <c r="I24" s="810"/>
      <c r="J24" s="810"/>
      <c r="K24" s="811"/>
      <c r="L24" s="809">
        <f>SUM(L18:L20)-SUM(L21:L22)</f>
        <v>0</v>
      </c>
      <c r="M24" s="812"/>
      <c r="N24" s="813"/>
      <c r="O24" s="813"/>
      <c r="P24" s="814"/>
    </row>
    <row r="25" spans="1:17">
      <c r="L25" s="756"/>
      <c r="M25" s="755"/>
    </row>
    <row r="27" spans="1:17">
      <c r="L27" s="756"/>
      <c r="M27" s="755"/>
    </row>
    <row r="29" spans="1:17" ht="15">
      <c r="B29" s="1135"/>
      <c r="G29" s="51"/>
    </row>
    <row r="31" spans="1:17">
      <c r="B31" s="756"/>
      <c r="C31" s="755"/>
    </row>
    <row r="32" spans="1:17">
      <c r="B32" s="756"/>
      <c r="C32" s="755"/>
    </row>
    <row r="33" spans="2:12">
      <c r="B33" s="756"/>
      <c r="C33" s="755"/>
      <c r="G33" s="756"/>
      <c r="L33" s="756"/>
    </row>
    <row r="34" spans="2:12">
      <c r="C34" s="755"/>
    </row>
    <row r="35" spans="2:12">
      <c r="C35" s="755"/>
    </row>
    <row r="36" spans="2:12">
      <c r="C36" s="755"/>
    </row>
    <row r="37" spans="2:12">
      <c r="C37" s="755"/>
    </row>
  </sheetData>
  <mergeCells count="6">
    <mergeCell ref="B1:F1"/>
    <mergeCell ref="G1:K1"/>
    <mergeCell ref="L1:P1"/>
    <mergeCell ref="E2:F2"/>
    <mergeCell ref="J2:K2"/>
    <mergeCell ref="O2:P2"/>
  </mergeCells>
  <conditionalFormatting sqref="E3:F17 J3:K17 O3:P17">
    <cfRule type="cellIs" dxfId="6" priority="3" operator="notEqual">
      <formula>0</formula>
    </cfRule>
  </conditionalFormatting>
  <conditionalFormatting sqref="B24 G24 L24">
    <cfRule type="cellIs" dxfId="5" priority="2" operator="notEqual">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 id="{EB35BBDD-DDA3-461E-8DC0-5D968D2B5613}">
            <xm:f>AND(#REF!=#REF!,SUM('[1]6.5'!#REF!)&gt;'[1]6.5'!#REF!)</xm:f>
            <x14:dxf>
              <fill>
                <patternFill>
                  <bgColor theme="5" tint="0.59996337778862885"/>
                </patternFill>
              </fill>
            </x14:dxf>
          </x14:cfRule>
          <xm:sqref>A15</xm:sqref>
        </x14:conditionalFormatting>
        <x14:conditionalFormatting xmlns:xm="http://schemas.microsoft.com/office/excel/2006/main">
          <x14:cfRule type="expression" priority="7" id="{C7040DC9-F75D-4DBE-A3F8-349250C75AA7}">
            <xm:f>AND(#REF!=#REF!,SUM('[1]6.5'!#REF!)&gt;'[1]6.5'!#REF!)</xm:f>
            <x14:dxf>
              <fill>
                <patternFill>
                  <bgColor theme="5" tint="0.59996337778862885"/>
                </patternFill>
              </fill>
            </x14:dxf>
          </x14:cfRule>
          <xm:sqref>B15</xm:sqref>
        </x14:conditionalFormatting>
        <x14:conditionalFormatting xmlns:xm="http://schemas.microsoft.com/office/excel/2006/main">
          <x14:cfRule type="expression" priority="6" id="{AD15FC57-D048-4572-96B0-A073BFDB82DB}">
            <xm:f>AND(#REF!=#REF!,SUM('[1]6.5'!#REF!)&gt;'[1]6.5'!#REF!)</xm:f>
            <x14:dxf>
              <fill>
                <patternFill>
                  <bgColor theme="5" tint="0.59996337778862885"/>
                </patternFill>
              </fill>
            </x14:dxf>
          </x14:cfRule>
          <xm:sqref>C15</xm:sqref>
        </x14:conditionalFormatting>
        <x14:conditionalFormatting xmlns:xm="http://schemas.microsoft.com/office/excel/2006/main">
          <x14:cfRule type="expression" priority="5" id="{3E71AD24-5764-45F5-9DA4-06778954AE21}">
            <xm:f>AND(#REF!=#REF!,SUM('[1]6.5'!#REF!)&gt;'[1]6.5'!#REF!)</xm:f>
            <x14:dxf>
              <fill>
                <patternFill>
                  <bgColor theme="5" tint="0.59996337778862885"/>
                </patternFill>
              </fill>
            </x14:dxf>
          </x14:cfRule>
          <xm:sqref>H15</xm:sqref>
        </x14:conditionalFormatting>
        <x14:conditionalFormatting xmlns:xm="http://schemas.microsoft.com/office/excel/2006/main">
          <x14:cfRule type="expression" priority="4" id="{EB644A51-5DA8-484F-B8F8-8F79774DEBE2}">
            <xm:f>AND(#REF!=#REF!,SUM('[1]6.5'!#REF!)&gt;'[1]6.5'!#REF!)</xm:f>
            <x14:dxf>
              <fill>
                <patternFill>
                  <bgColor theme="5" tint="0.59996337778862885"/>
                </patternFill>
              </fill>
            </x14:dxf>
          </x14:cfRule>
          <xm:sqref>M15</xm:sqref>
        </x14:conditionalFormatting>
      </x14:conditionalFormattings>
    </ext>
  </extLst>
</worksheet>
</file>

<file path=xl/worksheets/sheet15.xml><?xml version="1.0" encoding="utf-8"?>
<worksheet xmlns="http://schemas.openxmlformats.org/spreadsheetml/2006/main" xmlns:r="http://schemas.openxmlformats.org/officeDocument/2006/relationships">
  <dimension ref="A1:C56"/>
  <sheetViews>
    <sheetView showZeros="0" zoomScale="85" zoomScaleNormal="85" workbookViewId="0">
      <pane ySplit="1" topLeftCell="A32" activePane="bottomLeft" state="frozen"/>
      <selection activeCell="E19" sqref="E19"/>
      <selection pane="bottomLeft" activeCell="E19" sqref="E19"/>
    </sheetView>
  </sheetViews>
  <sheetFormatPr defaultColWidth="18.7109375" defaultRowHeight="20.100000000000001" customHeight="1"/>
  <cols>
    <col min="1" max="2" width="23.85546875" style="1016" customWidth="1"/>
    <col min="3" max="3" width="96.7109375" style="1015" customWidth="1"/>
    <col min="4" max="16384" width="18.7109375" style="1015"/>
  </cols>
  <sheetData>
    <row r="1" spans="1:3" s="1030" customFormat="1" ht="71.25" customHeight="1">
      <c r="A1" s="1039" t="s">
        <v>1091</v>
      </c>
      <c r="B1" s="1040" t="s">
        <v>1000</v>
      </c>
      <c r="C1" s="1041" t="s">
        <v>997</v>
      </c>
    </row>
    <row r="2" spans="1:3" ht="71.25" customHeight="1">
      <c r="A2" s="1031">
        <v>956290</v>
      </c>
      <c r="B2" s="1031">
        <v>95648</v>
      </c>
      <c r="C2" s="1035" t="s">
        <v>969</v>
      </c>
    </row>
    <row r="3" spans="1:3" ht="71.25" customHeight="1">
      <c r="A3" s="1032">
        <v>956170</v>
      </c>
      <c r="B3" s="1032">
        <v>956010</v>
      </c>
      <c r="C3" s="1036" t="s">
        <v>957</v>
      </c>
    </row>
    <row r="4" spans="1:3" ht="71.25" customHeight="1">
      <c r="A4" s="1032">
        <v>956070</v>
      </c>
      <c r="B4" s="1032">
        <v>956020</v>
      </c>
      <c r="C4" s="1036" t="s">
        <v>947</v>
      </c>
    </row>
    <row r="5" spans="1:3" ht="71.25" customHeight="1">
      <c r="A5" s="1032">
        <v>956080</v>
      </c>
      <c r="B5" s="1032">
        <v>956030</v>
      </c>
      <c r="C5" s="1036" t="s">
        <v>948</v>
      </c>
    </row>
    <row r="6" spans="1:3" ht="71.25" customHeight="1">
      <c r="A6" s="1032">
        <v>956340</v>
      </c>
      <c r="B6" s="1032">
        <v>956040</v>
      </c>
      <c r="C6" s="1036" t="s">
        <v>974</v>
      </c>
    </row>
    <row r="7" spans="1:3" ht="71.25" customHeight="1">
      <c r="A7" s="1032">
        <v>956160</v>
      </c>
      <c r="B7" s="1032">
        <v>956050</v>
      </c>
      <c r="C7" s="1036" t="s">
        <v>956</v>
      </c>
    </row>
    <row r="8" spans="1:3" ht="71.25" customHeight="1">
      <c r="A8" s="1032">
        <v>956090</v>
      </c>
      <c r="B8" s="1032">
        <v>956060</v>
      </c>
      <c r="C8" s="1036" t="s">
        <v>949</v>
      </c>
    </row>
    <row r="9" spans="1:3" ht="71.25" customHeight="1">
      <c r="A9" s="1032">
        <v>956180</v>
      </c>
      <c r="B9" s="1032">
        <v>956070</v>
      </c>
      <c r="C9" s="1036" t="s">
        <v>958</v>
      </c>
    </row>
    <row r="10" spans="1:3" ht="71.25" customHeight="1">
      <c r="A10" s="1033">
        <v>956460</v>
      </c>
      <c r="B10" s="1033">
        <v>956080</v>
      </c>
      <c r="C10" s="1037" t="s">
        <v>609</v>
      </c>
    </row>
    <row r="11" spans="1:3" ht="71.25" customHeight="1">
      <c r="A11" s="1032">
        <v>956150</v>
      </c>
      <c r="B11" s="1032">
        <v>956100</v>
      </c>
      <c r="C11" s="1036" t="s">
        <v>955</v>
      </c>
    </row>
    <row r="12" spans="1:3" ht="71.25" customHeight="1">
      <c r="A12" s="1032">
        <v>956210</v>
      </c>
      <c r="B12" s="1032">
        <v>956130</v>
      </c>
      <c r="C12" s="1036" t="s">
        <v>961</v>
      </c>
    </row>
    <row r="13" spans="1:3" ht="71.25" customHeight="1">
      <c r="A13" s="1032">
        <v>956240</v>
      </c>
      <c r="B13" s="1032">
        <v>956160</v>
      </c>
      <c r="C13" s="1036" t="s">
        <v>964</v>
      </c>
    </row>
    <row r="14" spans="1:3" ht="71.25" customHeight="1">
      <c r="A14" s="1032">
        <v>956260</v>
      </c>
      <c r="B14" s="1032">
        <v>956170</v>
      </c>
      <c r="C14" s="1036" t="s">
        <v>966</v>
      </c>
    </row>
    <row r="15" spans="1:3" ht="71.25" customHeight="1">
      <c r="A15" s="1032">
        <v>956130</v>
      </c>
      <c r="B15" s="1032">
        <v>956180</v>
      </c>
      <c r="C15" s="1036" t="s">
        <v>953</v>
      </c>
    </row>
    <row r="16" spans="1:3" ht="71.25" customHeight="1">
      <c r="A16" s="1033">
        <v>956530</v>
      </c>
      <c r="B16" s="1033">
        <v>956190</v>
      </c>
      <c r="C16" s="1037" t="s">
        <v>992</v>
      </c>
    </row>
    <row r="17" spans="1:3" ht="71.25" customHeight="1">
      <c r="A17" s="1032">
        <v>956140</v>
      </c>
      <c r="B17" s="1032">
        <v>956200</v>
      </c>
      <c r="C17" s="1036" t="s">
        <v>954</v>
      </c>
    </row>
    <row r="18" spans="1:3" ht="71.25" customHeight="1">
      <c r="A18" s="1032">
        <v>956390</v>
      </c>
      <c r="B18" s="1032">
        <v>956220</v>
      </c>
      <c r="C18" s="1036" t="s">
        <v>979</v>
      </c>
    </row>
    <row r="19" spans="1:3" ht="71.25" customHeight="1">
      <c r="A19" s="1032">
        <v>956010</v>
      </c>
      <c r="B19" s="1032">
        <v>956230</v>
      </c>
      <c r="C19" s="1036" t="s">
        <v>941</v>
      </c>
    </row>
    <row r="20" spans="1:3" ht="71.25" customHeight="1">
      <c r="A20" s="1032">
        <v>956020</v>
      </c>
      <c r="B20" s="1032">
        <v>956240</v>
      </c>
      <c r="C20" s="1036" t="s">
        <v>942</v>
      </c>
    </row>
    <row r="21" spans="1:3" ht="71.25" customHeight="1">
      <c r="A21" s="1033">
        <v>956480</v>
      </c>
      <c r="B21" s="1033">
        <v>956250</v>
      </c>
      <c r="C21" s="1037" t="s">
        <v>987</v>
      </c>
    </row>
    <row r="22" spans="1:3" ht="71.25" customHeight="1">
      <c r="A22" s="1032">
        <v>956420</v>
      </c>
      <c r="B22" s="1032">
        <v>956260</v>
      </c>
      <c r="C22" s="1036" t="s">
        <v>982</v>
      </c>
    </row>
    <row r="23" spans="1:3" ht="71.25" customHeight="1">
      <c r="A23" s="1033">
        <v>956490</v>
      </c>
      <c r="B23" s="1033">
        <v>956280</v>
      </c>
      <c r="C23" s="1037" t="s">
        <v>988</v>
      </c>
    </row>
    <row r="24" spans="1:3" ht="71.25" customHeight="1">
      <c r="A24" s="1032">
        <v>956040</v>
      </c>
      <c r="B24" s="1032">
        <v>956290</v>
      </c>
      <c r="C24" s="1036" t="s">
        <v>944</v>
      </c>
    </row>
    <row r="25" spans="1:3" ht="71.25" customHeight="1">
      <c r="A25" s="1032">
        <v>956280</v>
      </c>
      <c r="B25" s="1032">
        <v>956300</v>
      </c>
      <c r="C25" s="1036" t="s">
        <v>968</v>
      </c>
    </row>
    <row r="26" spans="1:3" ht="71.25" customHeight="1">
      <c r="A26" s="1032">
        <v>956380</v>
      </c>
      <c r="B26" s="1032">
        <v>956310</v>
      </c>
      <c r="C26" s="1036" t="s">
        <v>978</v>
      </c>
    </row>
    <row r="27" spans="1:3" ht="71.25" customHeight="1">
      <c r="A27" s="1032">
        <v>956410</v>
      </c>
      <c r="B27" s="1032">
        <v>956330</v>
      </c>
      <c r="C27" s="1036" t="s">
        <v>981</v>
      </c>
    </row>
    <row r="28" spans="1:3" ht="71.25" customHeight="1">
      <c r="A28" s="1033">
        <v>956510</v>
      </c>
      <c r="B28" s="1033">
        <v>956360</v>
      </c>
      <c r="C28" s="1037" t="s">
        <v>990</v>
      </c>
    </row>
    <row r="29" spans="1:3" ht="71.25" customHeight="1">
      <c r="A29" s="1032">
        <v>956430</v>
      </c>
      <c r="B29" s="1032">
        <v>956370</v>
      </c>
      <c r="C29" s="1036" t="s">
        <v>983</v>
      </c>
    </row>
    <row r="30" spans="1:3" ht="71.25" customHeight="1">
      <c r="A30" s="1033">
        <v>956500</v>
      </c>
      <c r="B30" s="1033">
        <v>956380</v>
      </c>
      <c r="C30" s="1037" t="s">
        <v>989</v>
      </c>
    </row>
    <row r="31" spans="1:3" ht="71.25" customHeight="1">
      <c r="A31" s="1033">
        <v>956470</v>
      </c>
      <c r="B31" s="1033">
        <v>956410</v>
      </c>
      <c r="C31" s="1037" t="s">
        <v>986</v>
      </c>
    </row>
    <row r="32" spans="1:3" ht="71.25" customHeight="1">
      <c r="A32" s="1032">
        <v>956220</v>
      </c>
      <c r="B32" s="1032">
        <v>956420</v>
      </c>
      <c r="C32" s="1036" t="s">
        <v>962</v>
      </c>
    </row>
    <row r="33" spans="1:3" ht="71.25" customHeight="1">
      <c r="A33" s="1032">
        <v>956120</v>
      </c>
      <c r="B33" s="1032">
        <v>956440</v>
      </c>
      <c r="C33" s="1036" t="s">
        <v>952</v>
      </c>
    </row>
    <row r="34" spans="1:3" ht="71.25" customHeight="1">
      <c r="A34" s="1032">
        <v>956270</v>
      </c>
      <c r="B34" s="1032">
        <v>956450</v>
      </c>
      <c r="C34" s="1036" t="s">
        <v>967</v>
      </c>
    </row>
    <row r="35" spans="1:3" ht="71.25" customHeight="1">
      <c r="A35" s="1032">
        <v>956310</v>
      </c>
      <c r="B35" s="1032">
        <v>956480</v>
      </c>
      <c r="C35" s="1036" t="s">
        <v>971</v>
      </c>
    </row>
    <row r="36" spans="1:3" ht="71.25" customHeight="1">
      <c r="A36" s="1032">
        <v>956400</v>
      </c>
      <c r="B36" s="1032">
        <v>956520</v>
      </c>
      <c r="C36" s="1036" t="s">
        <v>980</v>
      </c>
    </row>
    <row r="37" spans="1:3" ht="71.25" customHeight="1">
      <c r="A37" s="1032">
        <v>956050</v>
      </c>
      <c r="B37" s="1032">
        <v>956540</v>
      </c>
      <c r="C37" s="1036" t="s">
        <v>945</v>
      </c>
    </row>
    <row r="38" spans="1:3" ht="71.25" customHeight="1">
      <c r="A38" s="1033">
        <v>956570</v>
      </c>
      <c r="B38" s="1033">
        <v>956570</v>
      </c>
      <c r="C38" s="1037" t="s">
        <v>991</v>
      </c>
    </row>
    <row r="39" spans="1:3" ht="71.25" customHeight="1">
      <c r="A39" s="1032">
        <v>956030</v>
      </c>
      <c r="B39" s="1032">
        <v>956580</v>
      </c>
      <c r="C39" s="1036" t="s">
        <v>943</v>
      </c>
    </row>
    <row r="40" spans="1:3" ht="71.25" customHeight="1">
      <c r="A40" s="1033">
        <v>956440</v>
      </c>
      <c r="B40" s="1033">
        <v>956590</v>
      </c>
      <c r="C40" s="1037" t="s">
        <v>984</v>
      </c>
    </row>
    <row r="41" spans="1:3" ht="71.25" customHeight="1">
      <c r="A41" s="1032">
        <v>956250</v>
      </c>
      <c r="B41" s="1032">
        <v>956600</v>
      </c>
      <c r="C41" s="1036" t="s">
        <v>965</v>
      </c>
    </row>
    <row r="42" spans="1:3" ht="71.25" customHeight="1">
      <c r="A42" s="1032">
        <v>956330</v>
      </c>
      <c r="B42" s="1032">
        <v>956610</v>
      </c>
      <c r="C42" s="1036" t="s">
        <v>973</v>
      </c>
    </row>
    <row r="43" spans="1:3" ht="71.25" customHeight="1">
      <c r="A43" s="1032">
        <v>956190</v>
      </c>
      <c r="B43" s="1032">
        <v>956630</v>
      </c>
      <c r="C43" s="1036" t="s">
        <v>959</v>
      </c>
    </row>
    <row r="44" spans="1:3" ht="71.25" customHeight="1">
      <c r="A44" s="1032">
        <v>956370</v>
      </c>
      <c r="B44" s="1032">
        <v>956780</v>
      </c>
      <c r="C44" s="1036" t="s">
        <v>977</v>
      </c>
    </row>
    <row r="45" spans="1:3" ht="71.25" customHeight="1">
      <c r="A45" s="1034" t="s">
        <v>993</v>
      </c>
      <c r="B45" s="1034" t="s">
        <v>998</v>
      </c>
      <c r="C45" s="1037" t="s">
        <v>994</v>
      </c>
    </row>
    <row r="46" spans="1:3" ht="71.25" customHeight="1">
      <c r="A46" s="1034" t="s">
        <v>995</v>
      </c>
      <c r="B46" s="1034" t="s">
        <v>999</v>
      </c>
      <c r="C46" s="1037" t="s">
        <v>996</v>
      </c>
    </row>
    <row r="47" spans="1:3" ht="71.25" customHeight="1">
      <c r="A47" s="1032">
        <v>956060</v>
      </c>
      <c r="B47" s="1032"/>
      <c r="C47" s="1036" t="s">
        <v>946</v>
      </c>
    </row>
    <row r="48" spans="1:3" ht="71.25" customHeight="1">
      <c r="A48" s="1032">
        <v>956100</v>
      </c>
      <c r="B48" s="1032"/>
      <c r="C48" s="1036" t="s">
        <v>950</v>
      </c>
    </row>
    <row r="49" spans="1:3" ht="71.25" customHeight="1">
      <c r="A49" s="1032">
        <v>956110</v>
      </c>
      <c r="B49" s="1032"/>
      <c r="C49" s="1036" t="s">
        <v>951</v>
      </c>
    </row>
    <row r="50" spans="1:3" ht="71.25" customHeight="1">
      <c r="A50" s="1032">
        <v>956200</v>
      </c>
      <c r="B50" s="1032"/>
      <c r="C50" s="1036" t="s">
        <v>960</v>
      </c>
    </row>
    <row r="51" spans="1:3" ht="71.25" customHeight="1">
      <c r="A51" s="1032">
        <v>956230</v>
      </c>
      <c r="B51" s="1032"/>
      <c r="C51" s="1036" t="s">
        <v>963</v>
      </c>
    </row>
    <row r="52" spans="1:3" ht="71.25" customHeight="1">
      <c r="A52" s="1032">
        <v>956300</v>
      </c>
      <c r="B52" s="1032"/>
      <c r="C52" s="1036" t="s">
        <v>970</v>
      </c>
    </row>
    <row r="53" spans="1:3" ht="71.25" customHeight="1">
      <c r="A53" s="1032">
        <v>956320</v>
      </c>
      <c r="B53" s="1032"/>
      <c r="C53" s="1036" t="s">
        <v>972</v>
      </c>
    </row>
    <row r="54" spans="1:3" ht="71.25" customHeight="1">
      <c r="A54" s="1032">
        <v>956350</v>
      </c>
      <c r="B54" s="1032"/>
      <c r="C54" s="1036" t="s">
        <v>975</v>
      </c>
    </row>
    <row r="55" spans="1:3" ht="71.25" customHeight="1">
      <c r="A55" s="1032">
        <v>956360</v>
      </c>
      <c r="B55" s="1032"/>
      <c r="C55" s="1036" t="s">
        <v>976</v>
      </c>
    </row>
    <row r="56" spans="1:3" ht="71.25" customHeight="1">
      <c r="A56" s="1198">
        <v>956450</v>
      </c>
      <c r="B56" s="1198"/>
      <c r="C56" s="1038" t="s">
        <v>985</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dimension ref="A1"/>
  <sheetViews>
    <sheetView zoomScaleNormal="100"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13</vt:i4>
      </vt:variant>
    </vt:vector>
  </HeadingPairs>
  <TitlesOfParts>
    <vt:vector size="29" baseType="lpstr">
      <vt:lpstr>Титульный</vt:lpstr>
      <vt:lpstr>1</vt:lpstr>
      <vt:lpstr>2</vt:lpstr>
      <vt:lpstr>3-1</vt:lpstr>
      <vt:lpstr>3-2</vt:lpstr>
      <vt:lpstr>доходы</vt:lpstr>
      <vt:lpstr>111</vt:lpstr>
      <vt:lpstr>112, 113</vt:lpstr>
      <vt:lpstr>119, 321, 323, 350, 851, 852</vt:lpstr>
      <vt:lpstr>КФО 2</vt:lpstr>
      <vt:lpstr>КФО 4</vt:lpstr>
      <vt:lpstr>КФО 5</vt:lpstr>
      <vt:lpstr>400</vt:lpstr>
      <vt:lpstr>Проверочная таблица</vt:lpstr>
      <vt:lpstr>коды субсидии 2022.2023</vt:lpstr>
      <vt:lpstr>Лист1</vt:lpstr>
      <vt:lpstr>'1'!Область_печати</vt:lpstr>
      <vt:lpstr>'111'!Область_печати</vt:lpstr>
      <vt:lpstr>'112, 113'!Область_печати</vt:lpstr>
      <vt:lpstr>'119, 321, 323, 350, 851, 852'!Область_печати</vt:lpstr>
      <vt:lpstr>'2'!Область_печати</vt:lpstr>
      <vt:lpstr>'3-1'!Область_печати</vt:lpstr>
      <vt:lpstr>'3-2'!Область_печати</vt:lpstr>
      <vt:lpstr>'400'!Область_печати</vt:lpstr>
      <vt:lpstr>доходы!Область_печати</vt:lpstr>
      <vt:lpstr>'КФО 2'!Область_печати</vt:lpstr>
      <vt:lpstr>'КФО 4'!Область_печати</vt:lpstr>
      <vt:lpstr>'КФО 5'!Область_печати</vt:lpstr>
      <vt:lpstr>Титульный!Область_печати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ГугинЮВ</cp:lastModifiedBy>
  <cp:lastPrinted>2025-05-06T07:35:12Z</cp:lastPrinted>
  <dcterms:created xsi:type="dcterms:W3CDTF">2011-01-11T10:25:48Z</dcterms:created>
  <dcterms:modified xsi:type="dcterms:W3CDTF">2025-07-08T10:35:38Z</dcterms:modified>
</cp:coreProperties>
</file>